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Stan\Dropbox\2. bCFO-2025\Back Office 2025\Articles\Rhenie\To Post\Jay - Key words &amp; Articles\"/>
    </mc:Choice>
  </mc:AlternateContent>
  <xr:revisionPtr revIDLastSave="0" documentId="8_{490C47B2-92FD-4953-8F91-465085A8E163}" xr6:coauthVersionLast="47" xr6:coauthVersionMax="47" xr10:uidLastSave="{00000000-0000-0000-0000-000000000000}"/>
  <bookViews>
    <workbookView xWindow="-96" yWindow="-96" windowWidth="23232" windowHeight="12432" tabRatio="500" firstSheet="2" activeTab="5" xr2:uid="{00000000-000D-0000-FFFF-FFFF00000000}"/>
  </bookViews>
  <sheets>
    <sheet name="Start Here" sheetId="1" r:id="rId1"/>
    <sheet name="Assumptions" sheetId="2" r:id="rId2"/>
    <sheet name="AR &amp; AP Detail" sheetId="3" r:id="rId3"/>
    <sheet name="13-Week Forecast" sheetId="4" r:id="rId4"/>
    <sheet name="Actual vs Forecast" sheetId="5" r:id="rId5"/>
    <sheet name="Dashboard" sheetId="6"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H20" i="5" l="1"/>
  <c r="E20" i="5"/>
  <c r="L19" i="5"/>
  <c r="I19" i="5"/>
  <c r="F19" i="5"/>
  <c r="B19" i="5"/>
  <c r="L18" i="5"/>
  <c r="I18" i="5"/>
  <c r="F18" i="5"/>
  <c r="B18" i="5"/>
  <c r="L17" i="5"/>
  <c r="I17" i="5"/>
  <c r="F17" i="5"/>
  <c r="B17" i="5"/>
  <c r="L16" i="5"/>
  <c r="I16" i="5"/>
  <c r="F16" i="5"/>
  <c r="B16" i="5"/>
  <c r="L15" i="5"/>
  <c r="I15" i="5"/>
  <c r="F15" i="5"/>
  <c r="B15" i="5"/>
  <c r="L14" i="5"/>
  <c r="I14" i="5"/>
  <c r="F14" i="5"/>
  <c r="B14" i="5"/>
  <c r="L13" i="5"/>
  <c r="I13" i="5"/>
  <c r="F13" i="5"/>
  <c r="B13" i="5"/>
  <c r="L12" i="5"/>
  <c r="I12" i="5"/>
  <c r="F12" i="5"/>
  <c r="B12" i="5"/>
  <c r="L11" i="5"/>
  <c r="I11" i="5"/>
  <c r="F11" i="5"/>
  <c r="B11" i="5"/>
  <c r="L10" i="5"/>
  <c r="I10" i="5"/>
  <c r="F10" i="5"/>
  <c r="B10" i="5"/>
  <c r="L9" i="5"/>
  <c r="I9" i="5"/>
  <c r="F9" i="5"/>
  <c r="B9" i="5"/>
  <c r="L8" i="5"/>
  <c r="I8" i="5"/>
  <c r="F8" i="5"/>
  <c r="B8" i="5"/>
  <c r="L7" i="5"/>
  <c r="I7" i="5"/>
  <c r="I20" i="5" s="1"/>
  <c r="F7" i="5"/>
  <c r="F20" i="5" s="1"/>
  <c r="B7" i="5"/>
  <c r="O38" i="4"/>
  <c r="N38" i="4"/>
  <c r="M38" i="4"/>
  <c r="L38" i="4"/>
  <c r="K38" i="4"/>
  <c r="J38" i="4"/>
  <c r="I38" i="4"/>
  <c r="H38" i="4"/>
  <c r="G38" i="4"/>
  <c r="F38" i="4"/>
  <c r="E38" i="4"/>
  <c r="D38" i="4"/>
  <c r="C38" i="4"/>
  <c r="P31" i="4"/>
  <c r="O31" i="4"/>
  <c r="N31" i="4"/>
  <c r="M31" i="4"/>
  <c r="L31" i="4"/>
  <c r="K31" i="4"/>
  <c r="J31" i="4"/>
  <c r="I31" i="4"/>
  <c r="H31" i="4"/>
  <c r="G31" i="4"/>
  <c r="F31" i="4"/>
  <c r="E31" i="4"/>
  <c r="D31" i="4"/>
  <c r="C31" i="4"/>
  <c r="O30" i="4"/>
  <c r="N30" i="4"/>
  <c r="M30" i="4"/>
  <c r="L30" i="4"/>
  <c r="K30" i="4"/>
  <c r="J30" i="4"/>
  <c r="I30" i="4"/>
  <c r="H30" i="4"/>
  <c r="G30" i="4"/>
  <c r="F30" i="4"/>
  <c r="E30" i="4"/>
  <c r="D30" i="4"/>
  <c r="C30" i="4"/>
  <c r="P30" i="4" s="1"/>
  <c r="O29" i="4"/>
  <c r="N29" i="4"/>
  <c r="M29" i="4"/>
  <c r="L29" i="4"/>
  <c r="K29" i="4"/>
  <c r="J29" i="4"/>
  <c r="I29" i="4"/>
  <c r="H29" i="4"/>
  <c r="G29" i="4"/>
  <c r="F29" i="4"/>
  <c r="E29" i="4"/>
  <c r="D29" i="4"/>
  <c r="C29" i="4"/>
  <c r="P29" i="4" s="1"/>
  <c r="O28" i="4"/>
  <c r="N28" i="4"/>
  <c r="M28" i="4"/>
  <c r="L28" i="4"/>
  <c r="K28" i="4"/>
  <c r="J28" i="4"/>
  <c r="I28" i="4"/>
  <c r="H28" i="4"/>
  <c r="G28" i="4"/>
  <c r="F28" i="4"/>
  <c r="E28" i="4"/>
  <c r="D28" i="4"/>
  <c r="C28" i="4"/>
  <c r="P28" i="4" s="1"/>
  <c r="O22" i="4"/>
  <c r="N22" i="4"/>
  <c r="M22" i="4"/>
  <c r="L22" i="4"/>
  <c r="K22" i="4"/>
  <c r="J22" i="4"/>
  <c r="I22" i="4"/>
  <c r="H22" i="4"/>
  <c r="G22" i="4"/>
  <c r="F22" i="4"/>
  <c r="E22" i="4"/>
  <c r="D22" i="4"/>
  <c r="C22" i="4"/>
  <c r="P22" i="4" s="1"/>
  <c r="O21" i="4"/>
  <c r="N21" i="4"/>
  <c r="M21" i="4"/>
  <c r="L21" i="4"/>
  <c r="K21" i="4"/>
  <c r="J21" i="4"/>
  <c r="E21" i="4"/>
  <c r="D21" i="4"/>
  <c r="C21" i="4"/>
  <c r="O20" i="4"/>
  <c r="N20" i="4"/>
  <c r="M20" i="4"/>
  <c r="L20" i="4"/>
  <c r="K20" i="4"/>
  <c r="J20" i="4"/>
  <c r="E20" i="4"/>
  <c r="D20" i="4"/>
  <c r="C20" i="4"/>
  <c r="O19" i="4"/>
  <c r="N19" i="4"/>
  <c r="M19" i="4"/>
  <c r="L19" i="4"/>
  <c r="K19" i="4"/>
  <c r="J19" i="4"/>
  <c r="I19" i="4"/>
  <c r="H19" i="4"/>
  <c r="G19" i="4"/>
  <c r="F19" i="4"/>
  <c r="E19" i="4"/>
  <c r="D19" i="4"/>
  <c r="C19" i="4"/>
  <c r="O15" i="4"/>
  <c r="N15" i="4"/>
  <c r="M15" i="4"/>
  <c r="P15" i="4" s="1"/>
  <c r="L15" i="4"/>
  <c r="K15" i="4"/>
  <c r="J15" i="4"/>
  <c r="I15" i="4"/>
  <c r="H15" i="4"/>
  <c r="G15" i="4"/>
  <c r="F15" i="4"/>
  <c r="E15" i="4"/>
  <c r="D15" i="4"/>
  <c r="C15" i="4"/>
  <c r="C40" i="4" s="1"/>
  <c r="O14" i="4"/>
  <c r="N14" i="4"/>
  <c r="M14" i="4"/>
  <c r="L14" i="4"/>
  <c r="K14" i="4"/>
  <c r="P14" i="4" s="1"/>
  <c r="J14" i="4"/>
  <c r="I14" i="4"/>
  <c r="H14" i="4"/>
  <c r="G14" i="4"/>
  <c r="F14" i="4"/>
  <c r="E14" i="4"/>
  <c r="D14" i="4"/>
  <c r="C14" i="4"/>
  <c r="N13" i="4"/>
  <c r="M13" i="4"/>
  <c r="L13" i="4"/>
  <c r="K13" i="4"/>
  <c r="J13" i="4"/>
  <c r="I13" i="4"/>
  <c r="O12" i="4"/>
  <c r="N12" i="4"/>
  <c r="N16" i="4" s="1"/>
  <c r="M12" i="4"/>
  <c r="M16" i="4" s="1"/>
  <c r="L12" i="4"/>
  <c r="L16" i="4" s="1"/>
  <c r="K12" i="4"/>
  <c r="K16" i="4" s="1"/>
  <c r="J12" i="4"/>
  <c r="J16" i="4" s="1"/>
  <c r="I12" i="4"/>
  <c r="I16" i="4" s="1"/>
  <c r="H12" i="4"/>
  <c r="G12" i="4"/>
  <c r="F12" i="4"/>
  <c r="E12" i="4"/>
  <c r="D12" i="4"/>
  <c r="C12" i="4"/>
  <c r="P9" i="4"/>
  <c r="C9" i="4"/>
  <c r="C6" i="6" s="1"/>
  <c r="O7" i="4"/>
  <c r="N7" i="4"/>
  <c r="M7" i="4"/>
  <c r="L7" i="4"/>
  <c r="K7" i="4"/>
  <c r="J7" i="4"/>
  <c r="I7" i="4"/>
  <c r="H7" i="4"/>
  <c r="G7" i="4"/>
  <c r="F7" i="4"/>
  <c r="E7" i="4"/>
  <c r="D7" i="4"/>
  <c r="C7" i="4"/>
  <c r="C6" i="4"/>
  <c r="C23" i="4" s="1"/>
  <c r="E32" i="3"/>
  <c r="E17" i="3"/>
  <c r="O50" i="2"/>
  <c r="O13" i="4" s="1"/>
  <c r="O16" i="4" s="1"/>
  <c r="N50" i="2"/>
  <c r="N44" i="4" s="1"/>
  <c r="M50" i="2"/>
  <c r="M44" i="4" s="1"/>
  <c r="L50" i="2"/>
  <c r="L44" i="4" s="1"/>
  <c r="K50" i="2"/>
  <c r="K44" i="4" s="1"/>
  <c r="J50" i="2"/>
  <c r="J44" i="4" s="1"/>
  <c r="I50" i="2"/>
  <c r="I44" i="4" s="1"/>
  <c r="H50" i="2"/>
  <c r="H44" i="4" s="1"/>
  <c r="G50" i="2"/>
  <c r="G44" i="4" s="1"/>
  <c r="F50" i="2"/>
  <c r="F44" i="4" s="1"/>
  <c r="E50" i="2"/>
  <c r="E44" i="4" s="1"/>
  <c r="D50" i="2"/>
  <c r="D44" i="4" s="1"/>
  <c r="C50" i="2"/>
  <c r="C44" i="4" s="1"/>
  <c r="P49" i="2"/>
  <c r="P48" i="2"/>
  <c r="P47" i="2"/>
  <c r="P46" i="2"/>
  <c r="P45" i="2"/>
  <c r="P44" i="2"/>
  <c r="C33" i="2"/>
  <c r="C22" i="2"/>
  <c r="C21" i="2"/>
  <c r="C20" i="2"/>
  <c r="D20" i="2" s="1"/>
  <c r="D15" i="5" l="1"/>
  <c r="D14" i="5"/>
  <c r="G16" i="4"/>
  <c r="D13" i="5"/>
  <c r="D16" i="5"/>
  <c r="D17" i="5"/>
  <c r="D18" i="5"/>
  <c r="D19" i="5"/>
  <c r="C41" i="4"/>
  <c r="D40" i="4"/>
  <c r="D13" i="4"/>
  <c r="D16" i="4" s="1"/>
  <c r="F13" i="4"/>
  <c r="F16" i="4" s="1"/>
  <c r="C13" i="4"/>
  <c r="E13" i="4"/>
  <c r="E16" i="4" s="1"/>
  <c r="G13" i="4"/>
  <c r="P50" i="2"/>
  <c r="D6" i="4"/>
  <c r="P12" i="4"/>
  <c r="H13" i="4"/>
  <c r="H16" i="4" s="1"/>
  <c r="P19" i="4"/>
  <c r="O44" i="4"/>
  <c r="P44" i="4" s="1"/>
  <c r="F21" i="4"/>
  <c r="P21" i="4" s="1"/>
  <c r="G21" i="4"/>
  <c r="C27" i="4"/>
  <c r="C7" i="5"/>
  <c r="F20" i="4"/>
  <c r="H21" i="4"/>
  <c r="G20" i="4"/>
  <c r="I21" i="4"/>
  <c r="C26" i="4"/>
  <c r="H20" i="4"/>
  <c r="I20" i="4"/>
  <c r="C25" i="4"/>
  <c r="C24" i="4"/>
  <c r="C32" i="4" s="1"/>
  <c r="D12" i="5" l="1"/>
  <c r="G7" i="5"/>
  <c r="P20" i="4"/>
  <c r="C17" i="6"/>
  <c r="P13" i="4"/>
  <c r="C16" i="4"/>
  <c r="C8" i="5"/>
  <c r="D24" i="4"/>
  <c r="D25" i="4"/>
  <c r="E6" i="4"/>
  <c r="D26" i="4"/>
  <c r="D27" i="4"/>
  <c r="D23" i="4"/>
  <c r="D9" i="5"/>
  <c r="D10" i="5"/>
  <c r="D8" i="5"/>
  <c r="D41" i="4"/>
  <c r="E40" i="4"/>
  <c r="D11" i="5"/>
  <c r="F40" i="4" l="1"/>
  <c r="E41" i="4"/>
  <c r="C34" i="4"/>
  <c r="P16" i="4"/>
  <c r="C12" i="6"/>
  <c r="D7" i="5"/>
  <c r="D20" i="5" s="1"/>
  <c r="D32" i="4"/>
  <c r="E24" i="4"/>
  <c r="E25" i="4"/>
  <c r="F6" i="4"/>
  <c r="E26" i="4"/>
  <c r="E27" i="4"/>
  <c r="C9" i="5"/>
  <c r="E23" i="4"/>
  <c r="G8" i="5" l="1"/>
  <c r="D34" i="4"/>
  <c r="C10" i="5"/>
  <c r="F25" i="4"/>
  <c r="F26" i="4"/>
  <c r="F27" i="4"/>
  <c r="G6" i="4"/>
  <c r="F23" i="4"/>
  <c r="F24" i="4"/>
  <c r="G40" i="4"/>
  <c r="F41" i="4"/>
  <c r="C35" i="4"/>
  <c r="E32" i="4"/>
  <c r="F32" i="4" l="1"/>
  <c r="H40" i="4"/>
  <c r="G41" i="4"/>
  <c r="G9" i="5"/>
  <c r="E34" i="4"/>
  <c r="G25" i="4"/>
  <c r="G26" i="4"/>
  <c r="G27" i="4"/>
  <c r="C11" i="5"/>
  <c r="H6" i="4"/>
  <c r="G23" i="4"/>
  <c r="G24" i="4"/>
  <c r="J7" i="5"/>
  <c r="C42" i="4"/>
  <c r="C39" i="4"/>
  <c r="D9" i="4"/>
  <c r="D35" i="4" s="1"/>
  <c r="D42" i="4" l="1"/>
  <c r="E9" i="4"/>
  <c r="E35" i="4" s="1"/>
  <c r="D39" i="4"/>
  <c r="J8" i="5"/>
  <c r="I40" i="4"/>
  <c r="H41" i="4"/>
  <c r="G10" i="5"/>
  <c r="F34" i="4"/>
  <c r="G32" i="4"/>
  <c r="C12" i="5"/>
  <c r="H26" i="4"/>
  <c r="H27" i="4"/>
  <c r="H23" i="4"/>
  <c r="I6" i="4"/>
  <c r="H24" i="4"/>
  <c r="H25" i="4"/>
  <c r="G11" i="5" l="1"/>
  <c r="G34" i="4"/>
  <c r="J40" i="4"/>
  <c r="I41" i="4"/>
  <c r="E42" i="4"/>
  <c r="F9" i="4"/>
  <c r="F35" i="4" s="1"/>
  <c r="J9" i="5"/>
  <c r="E39" i="4"/>
  <c r="I26" i="4"/>
  <c r="I27" i="4"/>
  <c r="C13" i="5"/>
  <c r="I23" i="4"/>
  <c r="I24" i="4"/>
  <c r="J6" i="4"/>
  <c r="I25" i="4"/>
  <c r="H32" i="4"/>
  <c r="K40" i="4" l="1"/>
  <c r="J41" i="4"/>
  <c r="F42" i="4"/>
  <c r="F39" i="4"/>
  <c r="G9" i="4"/>
  <c r="G35" i="4" s="1"/>
  <c r="J10" i="5"/>
  <c r="G12" i="5"/>
  <c r="H34" i="4"/>
  <c r="C14" i="5"/>
  <c r="J27" i="4"/>
  <c r="J23" i="4"/>
  <c r="J32" i="4" s="1"/>
  <c r="J24" i="4"/>
  <c r="J25" i="4"/>
  <c r="K6" i="4"/>
  <c r="J26" i="4"/>
  <c r="I32" i="4"/>
  <c r="G13" i="5" l="1"/>
  <c r="I34" i="4"/>
  <c r="G42" i="4"/>
  <c r="J11" i="5"/>
  <c r="G39" i="4"/>
  <c r="H9" i="4"/>
  <c r="H35" i="4" s="1"/>
  <c r="G14" i="5"/>
  <c r="J34" i="4"/>
  <c r="K27" i="4"/>
  <c r="C15" i="5"/>
  <c r="K23" i="4"/>
  <c r="K24" i="4"/>
  <c r="K25" i="4"/>
  <c r="L6" i="4"/>
  <c r="K26" i="4"/>
  <c r="L40" i="4"/>
  <c r="K41" i="4"/>
  <c r="M40" i="4" l="1"/>
  <c r="L41" i="4"/>
  <c r="C16" i="5"/>
  <c r="L23" i="4"/>
  <c r="L24" i="4"/>
  <c r="L25" i="4"/>
  <c r="M6" i="4"/>
  <c r="L26" i="4"/>
  <c r="L27" i="4"/>
  <c r="K32" i="4"/>
  <c r="H39" i="4"/>
  <c r="I9" i="4"/>
  <c r="I35" i="4" s="1"/>
  <c r="J12" i="5"/>
  <c r="H42" i="4"/>
  <c r="J9" i="4" l="1"/>
  <c r="J35" i="4" s="1"/>
  <c r="J13" i="5"/>
  <c r="I39" i="4"/>
  <c r="I42" i="4"/>
  <c r="G15" i="5"/>
  <c r="K34" i="4"/>
  <c r="M23" i="4"/>
  <c r="C17" i="5"/>
  <c r="M24" i="4"/>
  <c r="M25" i="4"/>
  <c r="N6" i="4"/>
  <c r="M26" i="4"/>
  <c r="M27" i="4"/>
  <c r="L32" i="4"/>
  <c r="N40" i="4"/>
  <c r="M41" i="4"/>
  <c r="O40" i="4" l="1"/>
  <c r="N41" i="4"/>
  <c r="G16" i="5"/>
  <c r="L34" i="4"/>
  <c r="C18" i="5"/>
  <c r="N23" i="4"/>
  <c r="N24" i="4"/>
  <c r="N25" i="4"/>
  <c r="N26" i="4"/>
  <c r="N27" i="4"/>
  <c r="O6" i="4"/>
  <c r="M32" i="4"/>
  <c r="J39" i="4"/>
  <c r="J14" i="5"/>
  <c r="K9" i="4"/>
  <c r="K35" i="4" s="1"/>
  <c r="J42" i="4"/>
  <c r="J15" i="5" l="1"/>
  <c r="K39" i="4"/>
  <c r="K42" i="4"/>
  <c r="L9" i="4"/>
  <c r="L35" i="4" s="1"/>
  <c r="G17" i="5"/>
  <c r="M34" i="4"/>
  <c r="O23" i="4"/>
  <c r="O24" i="4"/>
  <c r="P24" i="4" s="1"/>
  <c r="C19" i="5"/>
  <c r="O25" i="4"/>
  <c r="P25" i="4" s="1"/>
  <c r="O26" i="4"/>
  <c r="P26" i="4" s="1"/>
  <c r="O27" i="4"/>
  <c r="P27" i="4" s="1"/>
  <c r="N32" i="4"/>
  <c r="O41" i="4"/>
  <c r="C15" i="6"/>
  <c r="G18" i="5" l="1"/>
  <c r="N34" i="4"/>
  <c r="O32" i="4"/>
  <c r="P23" i="4"/>
  <c r="L39" i="4"/>
  <c r="J16" i="5"/>
  <c r="L42" i="4"/>
  <c r="M9" i="4"/>
  <c r="M35" i="4" s="1"/>
  <c r="M39" i="4" l="1"/>
  <c r="J17" i="5"/>
  <c r="M42" i="4"/>
  <c r="N9" i="4"/>
  <c r="N35" i="4" s="1"/>
  <c r="G19" i="5"/>
  <c r="G20" i="5" s="1"/>
  <c r="O34" i="4"/>
  <c r="P34" i="4" s="1"/>
  <c r="P32" i="4"/>
  <c r="C13" i="6"/>
  <c r="N39" i="4" l="1"/>
  <c r="N42" i="4"/>
  <c r="J18" i="5"/>
  <c r="O9" i="4"/>
  <c r="O35" i="4" s="1"/>
  <c r="J19" i="5" l="1"/>
  <c r="O42" i="4"/>
  <c r="C16" i="6" s="1"/>
  <c r="C8" i="6"/>
  <c r="P35" i="4"/>
  <c r="C7" i="6"/>
  <c r="O39" i="4"/>
  <c r="C11" i="6" s="1"/>
  <c r="C10" i="6"/>
  <c r="C9" i="6"/>
  <c r="C14" i="6"/>
</calcChain>
</file>

<file path=xl/sharedStrings.xml><?xml version="1.0" encoding="utf-8"?>
<sst xmlns="http://schemas.openxmlformats.org/spreadsheetml/2006/main" count="222" uniqueCount="189">
  <si>
    <t>13-Week Cash Forecast</t>
  </si>
  <si>
    <t>Companion template — Business CFO for Hire  |  The budget is a commitment. The forecast is a prediction.</t>
  </si>
  <si>
    <t>How to use this workbook</t>
  </si>
  <si>
    <t>Colour legend</t>
  </si>
  <si>
    <t>Blue text = input. You change these.</t>
  </si>
  <si>
    <t>Black text = formula. Do not overwrite.</t>
  </si>
  <si>
    <t>Green text = link pulling from another tab in this workbook.</t>
  </si>
  <si>
    <t>Why 13 weeks</t>
  </si>
  <si>
    <t>One quarter is long enough to see a payroll, tax and debt-service cycle collide, and short enough that the numbers are still knowable. Beyond 13 weeks you are budgeting, not forecasting.</t>
  </si>
  <si>
    <t>The budget tells you whether you are winning. The forecast tells you whether you will run out of money before you find out.</t>
  </si>
  <si>
    <t>Assumptions</t>
  </si>
  <si>
    <t>Change blue cells only. Everything else is formula-driven.</t>
  </si>
  <si>
    <t>Timing &amp; opening position</t>
  </si>
  <si>
    <t>Week 1 ending date (use a Friday)</t>
  </si>
  <si>
    <t>Weeks of actuals already entered</t>
  </si>
  <si>
    <t>Opening cash balance</t>
  </si>
  <si>
    <t>Minimum cash target (your floor)</t>
  </si>
  <si>
    <t>Line of credit limit</t>
  </si>
  <si>
    <t>Line of credit currently drawn</t>
  </si>
  <si>
    <t>Revenue &amp; collections</t>
  </si>
  <si>
    <t>Base weekly invoiced revenue</t>
  </si>
  <si>
    <t>% collected in week invoiced</t>
  </si>
  <si>
    <t>% collected 1 week later</t>
  </si>
  <si>
    <t>% collected 2 weeks later</t>
  </si>
  <si>
    <t>% collected 3 weeks later</t>
  </si>
  <si>
    <t>% collected 4 weeks later</t>
  </si>
  <si>
    <t>Total collected (must equal 100%)</t>
  </si>
  <si>
    <t>Opening AR (from AR &amp; AP Detail)</t>
  </si>
  <si>
    <t>Opening AP (from AR &amp; AP Detail)</t>
  </si>
  <si>
    <t>Other recurring weekly receipts</t>
  </si>
  <si>
    <t>Cost structure &amp; payment timing</t>
  </si>
  <si>
    <t>Materials / COGS as % of revenue</t>
  </si>
  <si>
    <t>Vendor payment lag (weeks)</t>
  </si>
  <si>
    <t>Subcontractors as % of revenue</t>
  </si>
  <si>
    <t>Subcontractor payment lag (weeks)</t>
  </si>
  <si>
    <t>Payroll &amp; payroll taxes per pay run</t>
  </si>
  <si>
    <t>Payroll frequency (weeks: 1 or 2)</t>
  </si>
  <si>
    <t>First payroll week in horizon</t>
  </si>
  <si>
    <t>Implied gross margin</t>
  </si>
  <si>
    <t>Monthly fixed payments (paid in the first week of each month)</t>
  </si>
  <si>
    <t>Rent &amp; utilities</t>
  </si>
  <si>
    <t>Insurance</t>
  </si>
  <si>
    <t>Software &amp; other operating costs</t>
  </si>
  <si>
    <t>Sales &amp; payroll tax remittance</t>
  </si>
  <si>
    <t>Debt service (principal &amp; interest)</t>
  </si>
  <si>
    <t>Week-by-week entries (one-off items and seasonality)</t>
  </si>
  <si>
    <t>Week #</t>
  </si>
  <si>
    <t>Total</t>
  </si>
  <si>
    <t>Revenue seasonality index (1.00 = base)</t>
  </si>
  <si>
    <t>Capital expenditures</t>
  </si>
  <si>
    <t>Owner distributions</t>
  </si>
  <si>
    <t>Line of credit draw</t>
  </si>
  <si>
    <t>Line of credit paydown</t>
  </si>
  <si>
    <t>Other one-off receipts</t>
  </si>
  <si>
    <t>Other one-off payments (tax, legal, renewals)</t>
  </si>
  <si>
    <t>Invoiced revenue (calculated)</t>
  </si>
  <si>
    <t>AR &amp; AP Detail</t>
  </si>
  <si>
    <t>Replace the sample rows with your own. The week you assign is the week the cash actually moves.</t>
  </si>
  <si>
    <t>Accounts receivable — open invoices</t>
  </si>
  <si>
    <t>Be honest about the collect week. Optimism here is the most common reason a cash forecast misses.</t>
  </si>
  <si>
    <t>Customer</t>
  </si>
  <si>
    <t>Invoice #</t>
  </si>
  <si>
    <t>Invoice date</t>
  </si>
  <si>
    <t>Amount</t>
  </si>
  <si>
    <t>Collect in week</t>
  </si>
  <si>
    <t>Notes</t>
  </si>
  <si>
    <t>Ridgeline Construction LLC</t>
  </si>
  <si>
    <t>INV-4412</t>
  </si>
  <si>
    <t>Past due 41 days - owner promised this week</t>
  </si>
  <si>
    <t>Peachtree Fabrication</t>
  </si>
  <si>
    <t>INV-4455</t>
  </si>
  <si>
    <t>Net 30, pays on time</t>
  </si>
  <si>
    <t>Marietta Mechanical</t>
  </si>
  <si>
    <t>INV-4461</t>
  </si>
  <si>
    <t>Net 30</t>
  </si>
  <si>
    <t>Gwinnett Millworks</t>
  </si>
  <si>
    <t>INV-4468</t>
  </si>
  <si>
    <t>Southside Industrial</t>
  </si>
  <si>
    <t>INV-4470</t>
  </si>
  <si>
    <t>Freight dispute - $2,100 at risk</t>
  </si>
  <si>
    <t>Chattahoochee Supply Co</t>
  </si>
  <si>
    <t>INV-4477</t>
  </si>
  <si>
    <t>Alpharetta Precision</t>
  </si>
  <si>
    <t>INV-4482</t>
  </si>
  <si>
    <t>Stone Mountain Metals</t>
  </si>
  <si>
    <t>INV-4485</t>
  </si>
  <si>
    <t>Buckhead Interiors</t>
  </si>
  <si>
    <t>INV-4301</t>
  </si>
  <si>
    <t>90+ days - do not count on it early</t>
  </si>
  <si>
    <t>Accounts payable — unpaid bills</t>
  </si>
  <si>
    <t>Enter the week you intend to pay, not the due date. The gap between the two is your working-capital lever.</t>
  </si>
  <si>
    <t>Vendor</t>
  </si>
  <si>
    <t>Bill / ref</t>
  </si>
  <si>
    <t>Due date</t>
  </si>
  <si>
    <t>Pay in week</t>
  </si>
  <si>
    <t>Atlas Steel Supply</t>
  </si>
  <si>
    <t>Bill 8871</t>
  </si>
  <si>
    <t>Net 30 - holds our trade credit line</t>
  </si>
  <si>
    <t>Coastal Aluminium</t>
  </si>
  <si>
    <t>Bill 8877</t>
  </si>
  <si>
    <t>Past due - on credit hold until paid</t>
  </si>
  <si>
    <t>Delta Fasteners</t>
  </si>
  <si>
    <t>Bill 8890</t>
  </si>
  <si>
    <t>Metro Freight Lines</t>
  </si>
  <si>
    <t>Bill 8915</t>
  </si>
  <si>
    <t>Net 15</t>
  </si>
  <si>
    <t>Gulf Coast Coatings</t>
  </si>
  <si>
    <t>Bill 8902</t>
  </si>
  <si>
    <t>Can push to week 5 if cash is tight</t>
  </si>
  <si>
    <t>Northside Tooling</t>
  </si>
  <si>
    <t>Bill 8930</t>
  </si>
  <si>
    <t>Piedmont Equipment Rental</t>
  </si>
  <si>
    <t>Bill 8921</t>
  </si>
  <si>
    <t>Sandy Springs Electric</t>
  </si>
  <si>
    <t>Bill 8934</t>
  </si>
  <si>
    <t>Georgia Mutual Insurance</t>
  </si>
  <si>
    <t>Bill 8940</t>
  </si>
  <si>
    <t>Annual GL renewal instalment</t>
  </si>
  <si>
    <t>Black cells are formulas. Drive this from the Assumptions and AR &amp; AP Detail tabs.</t>
  </si>
  <si>
    <t>13-Wk Total</t>
  </si>
  <si>
    <t>Week ending</t>
  </si>
  <si>
    <t>Status</t>
  </si>
  <si>
    <t>OPENING CASH</t>
  </si>
  <si>
    <t>CASH IN</t>
  </si>
  <si>
    <t>Collections — opening AR</t>
  </si>
  <si>
    <t>Collections — new sales</t>
  </si>
  <si>
    <t>Other receipts</t>
  </si>
  <si>
    <t>Total Cash In</t>
  </si>
  <si>
    <t>CASH OUT</t>
  </si>
  <si>
    <t>Vendor payments — opening AP</t>
  </si>
  <si>
    <t>Vendor payments — new materials</t>
  </si>
  <si>
    <t>Subcontractors</t>
  </si>
  <si>
    <t>Payroll &amp; payroll taxes</t>
  </si>
  <si>
    <t>Debt service (P&amp;I)</t>
  </si>
  <si>
    <t>Other one-off payments</t>
  </si>
  <si>
    <t>Total Cash Out</t>
  </si>
  <si>
    <t>NET CASH FLOW</t>
  </si>
  <si>
    <t>CLOSING CASH</t>
  </si>
  <si>
    <t>LIQUIDITY TEST</t>
  </si>
  <si>
    <t>Minimum cash target</t>
  </si>
  <si>
    <t>Surplus / (Deficit) vs target</t>
  </si>
  <si>
    <t>Line of credit drawn (running)</t>
  </si>
  <si>
    <t>Line of credit available</t>
  </si>
  <si>
    <t>Total liquidity (cash + LOC)</t>
  </si>
  <si>
    <t>MEMO: Invoiced revenue</t>
  </si>
  <si>
    <t>Actual vs Forecast — Weekly Review</t>
  </si>
  <si>
    <t>Every Monday: enter last week's actuals (blue), then explain any variance above tolerance. Thirty minutes, not three hours.</t>
  </si>
  <si>
    <t>Week</t>
  </si>
  <si>
    <t>Forecast</t>
  </si>
  <si>
    <t>Actual</t>
  </si>
  <si>
    <t>Variance</t>
  </si>
  <si>
    <t>Variance explanation &amp; action owner</t>
  </si>
  <si>
    <t>Variance tolerance — explain anything above:</t>
  </si>
  <si>
    <t>Cash Dashboard</t>
  </si>
  <si>
    <t>Check these before any hiring, capex or distribution decision.</t>
  </si>
  <si>
    <t>Metric</t>
  </si>
  <si>
    <t>Value</t>
  </si>
  <si>
    <t>What it tells you</t>
  </si>
  <si>
    <t>Opening cash</t>
  </si>
  <si>
    <t>Where you start. The only number that is not an estimate.</t>
  </si>
  <si>
    <t>Closing cash — week 13</t>
  </si>
  <si>
    <t>Where you land if nothing changes. Compare to budget, not to zero.</t>
  </si>
  <si>
    <t>Net 13-week cash change</t>
  </si>
  <si>
    <t>Are you building or consuming cash this quarter?</t>
  </si>
  <si>
    <t>Lowest weekly closing cash</t>
  </si>
  <si>
    <t>The trough. This is the number that actually constrains decisions.</t>
  </si>
  <si>
    <t>Week of the low point</t>
  </si>
  <si>
    <t>Know the date before it arrives. That is the point of forecasting.</t>
  </si>
  <si>
    <t>Weeks below minimum cash target</t>
  </si>
  <si>
    <t>Anything above zero is an action item, not a rounding issue.</t>
  </si>
  <si>
    <t>Average weekly cash in</t>
  </si>
  <si>
    <t>Run-rate inflow. Test it against your collection assumptions.</t>
  </si>
  <si>
    <t>Average weekly cash out</t>
  </si>
  <si>
    <t>True weekly burn, including payroll and debt service.</t>
  </si>
  <si>
    <t>Weeks of cash coverage at week 13</t>
  </si>
  <si>
    <t>How long you last if inflows stop. Under 6 weeks is a warning.</t>
  </si>
  <si>
    <t>Peak line of credit utilisation</t>
  </si>
  <si>
    <t>Borrowing capacity is not a cash plan. Watch this creep upward.</t>
  </si>
  <si>
    <t>Total liquidity — week 13</t>
  </si>
  <si>
    <t>Cash plus undrawn credit. What you could actually deploy.</t>
  </si>
  <si>
    <t>Days sales outstanding (implied)</t>
  </si>
  <si>
    <t>Every day cut here is cash off your line of credit.</t>
  </si>
  <si>
    <r>
      <t xml:space="preserve">1. </t>
    </r>
    <r>
      <rPr>
        <b/>
        <sz val="11"/>
        <rFont val="Calibri"/>
        <family val="2"/>
      </rPr>
      <t xml:space="preserve">ASSUMPTIONS </t>
    </r>
    <r>
      <rPr>
        <sz val="11"/>
        <rFont val="Calibri"/>
        <family val="2"/>
      </rPr>
      <t>— set your week-1 ending date, opening cash, minimum cash target and line-of-credit limit. Then set revenue, collection timing, cost percentages, payment lags, payroll cadence and monthly fixed payments. Change blue cells only.</t>
    </r>
  </si>
  <si>
    <r>
      <t xml:space="preserve">2. </t>
    </r>
    <r>
      <rPr>
        <b/>
        <sz val="11"/>
        <rFont val="Calibri"/>
        <family val="2"/>
      </rPr>
      <t xml:space="preserve">AR &amp; AP DETAIL </t>
    </r>
    <r>
      <rPr>
        <sz val="11"/>
        <rFont val="Calibri"/>
        <family val="2"/>
      </rPr>
      <t>— replace the sample open invoices and unpaid bills with your own, and assign each one the week you actually expect to collect or pay it. This drives weeks 1-4 and is where most forecasts go wrong.</t>
    </r>
  </si>
  <si>
    <r>
      <t xml:space="preserve">3. </t>
    </r>
    <r>
      <rPr>
        <b/>
        <sz val="11"/>
        <rFont val="Calibri"/>
        <family val="2"/>
      </rPr>
      <t>13-WEEK FORECAST</t>
    </r>
    <r>
      <rPr>
        <sz val="11"/>
        <rFont val="Calibri"/>
        <family val="2"/>
      </rPr>
      <t xml:space="preserve"> — the grid builds itself. Read one line first: Closing Cash against Minimum Cash Target. Any negative Surplus / (Deficit) is an action item, not a rounding issue.</t>
    </r>
  </si>
  <si>
    <r>
      <t xml:space="preserve">4. </t>
    </r>
    <r>
      <rPr>
        <b/>
        <sz val="11"/>
        <rFont val="Calibri"/>
        <family val="2"/>
      </rPr>
      <t xml:space="preserve">ACTUAL VS FORECAST </t>
    </r>
    <r>
      <rPr>
        <sz val="11"/>
        <rFont val="Calibri"/>
        <family val="2"/>
      </rPr>
      <t>— every Monday, enter last week's actual cash in, cash out and closing balance, then explain any variance above your tolerance. This is where forecasting becomes a discipline instead of a spreadsheet.</t>
    </r>
  </si>
  <si>
    <r>
      <t xml:space="preserve">5. </t>
    </r>
    <r>
      <rPr>
        <b/>
        <sz val="11"/>
        <rFont val="Calibri"/>
        <family val="2"/>
      </rPr>
      <t>DASHBOARD</t>
    </r>
    <r>
      <rPr>
        <sz val="11"/>
        <rFont val="Calibri"/>
        <family val="2"/>
      </rPr>
      <t xml:space="preserve"> — the numbers to check before any hiring, capex or distribution decision. The trough week and weeks of coverage matter more than the ending balance.</t>
    </r>
  </si>
  <si>
    <r>
      <t xml:space="preserve">6. </t>
    </r>
    <r>
      <rPr>
        <b/>
        <sz val="11"/>
        <rFont val="Calibri"/>
        <family val="2"/>
      </rPr>
      <t xml:space="preserve">ROLL IT FORWARD </t>
    </r>
    <r>
      <rPr>
        <sz val="11"/>
        <rFont val="Calibri"/>
        <family val="2"/>
      </rPr>
      <t>— each week, drop the oldest week and add a new week 13. The forecast is always 13 weeks out. The annual budget stays fixed; only this moves.</t>
    </r>
  </si>
  <si>
    <r>
      <rPr>
        <b/>
        <u/>
        <sz val="11"/>
        <color theme="1"/>
        <rFont val="Calibri"/>
        <family val="2"/>
      </rPr>
      <t>Disclaimer:</t>
    </r>
    <r>
      <rPr>
        <u/>
        <sz val="11"/>
        <color theme="1"/>
        <rFont val="Calibri"/>
        <family val="2"/>
      </rPr>
      <t xml:space="preserve"> This worksheet is an illustrative 13 Week Forecast emplate. All amounts, ratios, and assumptions shown are hypothetical and included only to demonstrate how the model is structured and how the calculations flow. They are not intended to represent the historical results, current position, or expected future performance of any specific business.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</si>
</sst>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mm/dd/yyyy"/>
    <numFmt numFmtId="165" formatCode="\$#,##0;&quot;($&quot;#,##0\);\-"/>
    <numFmt numFmtId="166" formatCode="0.0%"/>
    <numFmt numFmtId="167" formatCode="mm/dd/yy"/>
    <numFmt numFmtId="168" formatCode="#,##0.0"/>
  </numFmts>
  <fonts count="13" x14ac:knownFonts="1">
    <font>
      <sz val="11"/>
      <color theme="1"/>
      <name val="Calibri"/>
      <family val="2"/>
      <charset val="1"/>
    </font>
    <font>
      <b/>
      <sz val="16"/>
      <color rgb="FF1B474D"/>
      <name val="Calibri"/>
      <family val="2"/>
    </font>
    <font>
      <i/>
      <sz val="10"/>
      <color rgb="FF7A7974"/>
      <name val="Calibri"/>
      <family val="2"/>
    </font>
    <font>
      <b/>
      <sz val="12"/>
      <color rgb="FF1B474D"/>
      <name val="Calibri"/>
      <family val="2"/>
    </font>
    <font>
      <sz val="11"/>
      <name val="Calibri"/>
      <family val="2"/>
    </font>
    <font>
      <b/>
      <sz val="11"/>
      <color rgb="FF1B474D"/>
      <name val="Calibri"/>
      <family val="2"/>
    </font>
    <font>
      <sz val="11"/>
      <color rgb="FF0000FF"/>
      <name val="Calibri"/>
      <family val="2"/>
    </font>
    <font>
      <b/>
      <sz val="11"/>
      <name val="Calibri"/>
      <family val="2"/>
    </font>
    <font>
      <sz val="11"/>
      <color rgb="FF008000"/>
      <name val="Calibri"/>
      <family val="2"/>
    </font>
    <font>
      <b/>
      <sz val="11"/>
      <color rgb="FFFFFFFF"/>
      <name val="Calibri"/>
      <family val="2"/>
    </font>
    <font>
      <b/>
      <sz val="9"/>
      <color rgb="FF7A7974"/>
      <name val="Calibri"/>
      <family val="2"/>
    </font>
    <font>
      <u/>
      <sz val="11"/>
      <color theme="1"/>
      <name val="Calibri"/>
      <family val="2"/>
    </font>
    <font>
      <b/>
      <u/>
      <sz val="11"/>
      <color theme="1"/>
      <name val="Calibri"/>
      <family val="2"/>
    </font>
  </fonts>
  <fills count="5">
    <fill>
      <patternFill patternType="none"/>
    </fill>
    <fill>
      <patternFill patternType="gray125"/>
    </fill>
    <fill>
      <patternFill patternType="solid">
        <fgColor rgb="FFDCE6E8"/>
        <bgColor rgb="FFD9D9D9"/>
      </patternFill>
    </fill>
    <fill>
      <patternFill patternType="solid">
        <fgColor rgb="FF1B474D"/>
        <bgColor rgb="FF003366"/>
      </patternFill>
    </fill>
    <fill>
      <patternFill patternType="solid">
        <fgColor rgb="FFF2F0EA"/>
        <bgColor rgb="FFDCE6E8"/>
      </patternFill>
    </fill>
  </fills>
  <borders count="3">
    <border>
      <left/>
      <right/>
      <top/>
      <bottom/>
      <diagonal/>
    </border>
    <border>
      <left/>
      <right/>
      <top style="thin">
        <color rgb="FF1B474D"/>
      </top>
      <bottom/>
      <diagonal/>
    </border>
    <border>
      <left/>
      <right/>
      <top/>
      <bottom style="thin">
        <color rgb="FFD4D1CA"/>
      </bottom>
      <diagonal/>
    </border>
  </borders>
  <cellStyleXfs count="1">
    <xf numFmtId="0" fontId="0" fillId="0" borderId="0"/>
  </cellStyleXfs>
  <cellXfs count="47">
    <xf numFmtId="0" fontId="0" fillId="0" borderId="0" xfId="0"/>
    <xf numFmtId="0" fontId="1" fillId="0" borderId="0" xfId="0" applyFont="1"/>
    <xf numFmtId="0" fontId="2" fillId="0" borderId="0" xfId="0" applyFont="1"/>
    <xf numFmtId="0" fontId="3" fillId="2" borderId="0" xfId="0" applyFont="1" applyFill="1"/>
    <xf numFmtId="0" fontId="0" fillId="2" borderId="0" xfId="0" applyFill="1"/>
    <xf numFmtId="0" fontId="4" fillId="0" borderId="0" xfId="0" applyFont="1" applyAlignment="1">
      <alignment vertical="top" wrapText="1"/>
    </xf>
    <xf numFmtId="0" fontId="5" fillId="2" borderId="0" xfId="0" applyFont="1" applyFill="1"/>
    <xf numFmtId="0" fontId="4" fillId="0" borderId="0" xfId="0" applyFont="1"/>
    <xf numFmtId="164" fontId="6" fillId="0" borderId="0" xfId="0" applyNumberFormat="1" applyFont="1" applyAlignment="1">
      <alignment horizontal="right"/>
    </xf>
    <xf numFmtId="3" fontId="6" fillId="0" borderId="0" xfId="0" applyNumberFormat="1" applyFont="1" applyAlignment="1">
      <alignment horizontal="right"/>
    </xf>
    <xf numFmtId="165" fontId="6" fillId="0" borderId="0" xfId="0" applyNumberFormat="1" applyFont="1" applyAlignment="1">
      <alignment horizontal="right"/>
    </xf>
    <xf numFmtId="166" fontId="6" fillId="0" borderId="0" xfId="0" applyNumberFormat="1" applyFont="1" applyAlignment="1">
      <alignment horizontal="right"/>
    </xf>
    <xf numFmtId="0" fontId="7" fillId="0" borderId="0" xfId="0" applyFont="1"/>
    <xf numFmtId="166" fontId="7" fillId="0" borderId="0" xfId="0" applyNumberFormat="1" applyFont="1" applyAlignment="1">
      <alignment horizontal="right"/>
    </xf>
    <xf numFmtId="165" fontId="8" fillId="0" borderId="0" xfId="0" applyNumberFormat="1" applyFont="1" applyAlignment="1">
      <alignment horizontal="right"/>
    </xf>
    <xf numFmtId="0" fontId="9" fillId="3" borderId="0" xfId="0" applyFont="1" applyFill="1"/>
    <xf numFmtId="3" fontId="9" fillId="3" borderId="0" xfId="0" applyNumberFormat="1" applyFont="1" applyFill="1" applyAlignment="1">
      <alignment horizontal="center"/>
    </xf>
    <xf numFmtId="0" fontId="9" fillId="3" borderId="0" xfId="0" applyFont="1" applyFill="1" applyAlignment="1">
      <alignment horizontal="center"/>
    </xf>
    <xf numFmtId="2" fontId="6" fillId="0" borderId="0" xfId="0" applyNumberFormat="1" applyFont="1" applyAlignment="1">
      <alignment horizontal="right"/>
    </xf>
    <xf numFmtId="165" fontId="7" fillId="0" borderId="0" xfId="0" applyNumberFormat="1" applyFont="1" applyAlignment="1">
      <alignment horizontal="right"/>
    </xf>
    <xf numFmtId="165" fontId="7" fillId="0" borderId="1" xfId="0" applyNumberFormat="1" applyFont="1" applyBorder="1" applyAlignment="1">
      <alignment horizontal="right"/>
    </xf>
    <xf numFmtId="0" fontId="3" fillId="0" borderId="0" xfId="0" applyFont="1"/>
    <xf numFmtId="0" fontId="9" fillId="3" borderId="0" xfId="0" applyFont="1" applyFill="1" applyAlignment="1">
      <alignment horizontal="center" wrapText="1"/>
    </xf>
    <xf numFmtId="0" fontId="6" fillId="0" borderId="2" xfId="0" applyFont="1" applyBorder="1"/>
    <xf numFmtId="164" fontId="6" fillId="0" borderId="2" xfId="0" applyNumberFormat="1" applyFont="1" applyBorder="1" applyAlignment="1">
      <alignment horizontal="center"/>
    </xf>
    <xf numFmtId="165" fontId="6" fillId="0" borderId="2" xfId="0" applyNumberFormat="1" applyFont="1" applyBorder="1" applyAlignment="1">
      <alignment horizontal="right"/>
    </xf>
    <xf numFmtId="3" fontId="6" fillId="0" borderId="2" xfId="0" applyNumberFormat="1" applyFont="1" applyBorder="1" applyAlignment="1">
      <alignment horizontal="center"/>
    </xf>
    <xf numFmtId="0" fontId="7" fillId="4" borderId="0" xfId="0" applyFont="1" applyFill="1"/>
    <xf numFmtId="165" fontId="7" fillId="4" borderId="1" xfId="0" applyNumberFormat="1" applyFont="1" applyFill="1" applyBorder="1" applyAlignment="1">
      <alignment horizontal="right"/>
    </xf>
    <xf numFmtId="167" fontId="9" fillId="3" borderId="0" xfId="0" applyNumberFormat="1" applyFont="1" applyFill="1" applyAlignment="1">
      <alignment horizontal="center"/>
    </xf>
    <xf numFmtId="0" fontId="10" fillId="0" borderId="0" xfId="0" applyFont="1" applyAlignment="1">
      <alignment horizontal="center"/>
    </xf>
    <xf numFmtId="0" fontId="7" fillId="4" borderId="1" xfId="0" applyFont="1" applyFill="1" applyBorder="1"/>
    <xf numFmtId="165" fontId="4" fillId="0" borderId="0" xfId="0" applyNumberFormat="1" applyFont="1" applyAlignment="1">
      <alignment horizontal="right"/>
    </xf>
    <xf numFmtId="0" fontId="7" fillId="0" borderId="1" xfId="0" applyFont="1" applyBorder="1"/>
    <xf numFmtId="0" fontId="5" fillId="0" borderId="0" xfId="0" applyFont="1" applyAlignment="1">
      <alignment horizontal="center"/>
    </xf>
    <xf numFmtId="3" fontId="8" fillId="0" borderId="2" xfId="0" applyNumberFormat="1" applyFont="1" applyBorder="1" applyAlignment="1">
      <alignment horizontal="center"/>
    </xf>
    <xf numFmtId="167" fontId="8" fillId="0" borderId="2" xfId="0" applyNumberFormat="1" applyFont="1" applyBorder="1" applyAlignment="1">
      <alignment horizontal="center"/>
    </xf>
    <xf numFmtId="165" fontId="8" fillId="0" borderId="2" xfId="0" applyNumberFormat="1" applyFont="1" applyBorder="1" applyAlignment="1">
      <alignment horizontal="right"/>
    </xf>
    <xf numFmtId="165" fontId="7" fillId="0" borderId="2" xfId="0" applyNumberFormat="1" applyFont="1" applyBorder="1" applyAlignment="1">
      <alignment horizontal="right"/>
    </xf>
    <xf numFmtId="0" fontId="6" fillId="0" borderId="2" xfId="0" applyFont="1" applyBorder="1" applyAlignment="1">
      <alignment horizontal="left"/>
    </xf>
    <xf numFmtId="0" fontId="7" fillId="0" borderId="2" xfId="0" applyFont="1" applyBorder="1"/>
    <xf numFmtId="165" fontId="4" fillId="0" borderId="2" xfId="0" applyNumberFormat="1" applyFont="1" applyBorder="1" applyAlignment="1">
      <alignment horizontal="right"/>
    </xf>
    <xf numFmtId="0" fontId="2" fillId="0" borderId="2" xfId="0" applyFont="1" applyBorder="1" applyAlignment="1">
      <alignment vertical="center"/>
    </xf>
    <xf numFmtId="3" fontId="4" fillId="0" borderId="2" xfId="0" applyNumberFormat="1" applyFont="1" applyBorder="1" applyAlignment="1">
      <alignment horizontal="right"/>
    </xf>
    <xf numFmtId="168" fontId="4" fillId="0" borderId="2" xfId="0" applyNumberFormat="1" applyFont="1" applyBorder="1" applyAlignment="1">
      <alignment horizontal="right"/>
    </xf>
    <xf numFmtId="166" fontId="4" fillId="0" borderId="2" xfId="0" applyNumberFormat="1" applyFont="1" applyBorder="1" applyAlignment="1">
      <alignment horizontal="right"/>
    </xf>
    <xf numFmtId="0" fontId="11" fillId="0" borderId="0" xfId="0" applyFont="1" applyAlignment="1">
      <alignment vertical="center" wrapText="1"/>
    </xf>
  </cellXfs>
  <cellStyles count="1">
    <cellStyle name="Normal" xfId="0" builtinId="0"/>
  </cellStyles>
  <dxfs count="4">
    <dxf>
      <font>
        <b/>
        <sz val="11"/>
        <color rgb="FFA13544"/>
        <name val="Calibri"/>
        <charset val="1"/>
      </font>
    </dxf>
    <dxf>
      <font>
        <b/>
        <sz val="11"/>
        <color rgb="FFA13544"/>
        <name val="Calibri"/>
        <charset val="1"/>
      </font>
    </dxf>
    <dxf>
      <font>
        <b/>
        <sz val="11"/>
        <color rgb="FFA13544"/>
        <name val="Calibri"/>
        <charset val="1"/>
      </font>
      <fill>
        <patternFill>
          <bgColor rgb="FFF7DDE4"/>
        </patternFill>
      </fill>
    </dxf>
    <dxf>
      <font>
        <b/>
        <sz val="11"/>
        <color rgb="FFA13544"/>
        <name val="Calibri"/>
        <charset val="1"/>
      </font>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20808D"/>
      <rgbColor rgb="FFD4D1CA"/>
      <rgbColor rgb="FF878787"/>
      <rgbColor rgb="FF9999FF"/>
      <rgbColor rgb="FFA13544"/>
      <rgbColor rgb="FFF2F0EA"/>
      <rgbColor rgb="FFDCE6E8"/>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7DDE4"/>
      <rgbColor rgb="FF3366FF"/>
      <rgbColor rgb="FF33CCCC"/>
      <rgbColor rgb="FF99CC00"/>
      <rgbColor rgb="FFFFCC00"/>
      <rgbColor rgb="FFFF9900"/>
      <rgbColor rgb="FFFF6600"/>
      <rgbColor rgb="FF7A7974"/>
      <rgbColor rgb="FF969696"/>
      <rgbColor rgb="FF003366"/>
      <rgbColor rgb="FF339966"/>
      <rgbColor rgb="FF003300"/>
      <rgbColor rgb="FF333300"/>
      <rgbColor rgb="FF993300"/>
      <rgbColor rgb="FF993366"/>
      <rgbColor rgb="FF333399"/>
      <rgbColor rgb="FF1B474D"/>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c:style val="2"/>
  <c:chart>
    <c:title>
      <c:tx>
        <c:rich>
          <a:bodyPr rot="0"/>
          <a:lstStyle/>
          <a:p>
            <a:pPr>
              <a:defRPr sz="1300" b="0" u="none" strike="noStrike">
                <a:uFillTx/>
                <a:latin typeface="Arial"/>
              </a:defRPr>
            </a:pPr>
            <a:r>
              <a:rPr lang="en-US" sz="1800" b="1" u="none" strike="noStrike">
                <a:solidFill>
                  <a:srgbClr val="000000"/>
                </a:solidFill>
                <a:uFillTx/>
                <a:latin typeface="Calibri"/>
              </a:rPr>
              <a:t>Closing cash vs. minimum cash target</a:t>
            </a:r>
          </a:p>
        </c:rich>
      </c:tx>
      <c:overlay val="0"/>
      <c:spPr>
        <a:noFill/>
        <a:ln w="0">
          <a:noFill/>
        </a:ln>
      </c:spPr>
    </c:title>
    <c:autoTitleDeleted val="0"/>
    <c:plotArea>
      <c:layout/>
      <c:lineChart>
        <c:grouping val="standard"/>
        <c:varyColors val="0"/>
        <c:ser>
          <c:idx val="0"/>
          <c:order val="0"/>
          <c:tx>
            <c:strRef>
              <c:f>'13-Week Forecast'!$B$35</c:f>
              <c:strCache>
                <c:ptCount val="1"/>
                <c:pt idx="0">
                  <c:v>CLOSING CASH</c:v>
                </c:pt>
              </c:strCache>
            </c:strRef>
          </c:tx>
          <c:spPr>
            <a:ln w="28080">
              <a:solidFill>
                <a:srgbClr val="20808D"/>
              </a:solidFill>
              <a:round/>
            </a:ln>
          </c:spPr>
          <c:marker>
            <c:symbol val="none"/>
          </c:marker>
          <c:dLbls>
            <c:spPr>
              <a:noFill/>
              <a:ln>
                <a:noFill/>
              </a:ln>
              <a:effectLst/>
            </c:spPr>
            <c:txPr>
              <a:bodyPr wrap="none"/>
              <a:lstStyle/>
              <a:p>
                <a:pPr>
                  <a:defRPr sz="1000" b="0" u="none" strike="noStrike">
                    <a:uFillTx/>
                    <a:latin typeface="Arial"/>
                  </a:defRPr>
                </a:pPr>
                <a:endParaRPr lang="en-US"/>
              </a:p>
            </c:txP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15:leaderLines>
                  <c:spPr>
                    <a:ln w="28080">
                      <a:solidFill>
                        <a:srgbClr val="000000"/>
                      </a:solidFill>
                    </a:ln>
                  </c:spPr>
                </c15:leaderLines>
              </c:ext>
            </c:extLst>
          </c:dLbls>
          <c:cat>
            <c:numRef>
              <c:f>'13-Week Forecast'!$C$6:$O$6</c:f>
              <c:numCache>
                <c:formatCode>mm/dd/yy</c:formatCode>
                <c:ptCount val="13"/>
                <c:pt idx="0">
                  <c:v>46241</c:v>
                </c:pt>
                <c:pt idx="1">
                  <c:v>46248</c:v>
                </c:pt>
                <c:pt idx="2">
                  <c:v>46255</c:v>
                </c:pt>
                <c:pt idx="3">
                  <c:v>46262</c:v>
                </c:pt>
                <c:pt idx="4">
                  <c:v>46269</c:v>
                </c:pt>
                <c:pt idx="5">
                  <c:v>46276</c:v>
                </c:pt>
                <c:pt idx="6">
                  <c:v>46283</c:v>
                </c:pt>
                <c:pt idx="7">
                  <c:v>46290</c:v>
                </c:pt>
                <c:pt idx="8">
                  <c:v>46297</c:v>
                </c:pt>
                <c:pt idx="9">
                  <c:v>46304</c:v>
                </c:pt>
                <c:pt idx="10">
                  <c:v>46311</c:v>
                </c:pt>
                <c:pt idx="11">
                  <c:v>46318</c:v>
                </c:pt>
                <c:pt idx="12">
                  <c:v>46325</c:v>
                </c:pt>
              </c:numCache>
            </c:numRef>
          </c:cat>
          <c:val>
            <c:numRef>
              <c:f>'13-Week Forecast'!$C$35:$O$35</c:f>
              <c:numCache>
                <c:formatCode>\$#,##0;"($"#,##0\);\-</c:formatCode>
                <c:ptCount val="13"/>
                <c:pt idx="0">
                  <c:v>113450</c:v>
                </c:pt>
                <c:pt idx="1">
                  <c:v>176550</c:v>
                </c:pt>
                <c:pt idx="2">
                  <c:v>217170</c:v>
                </c:pt>
                <c:pt idx="3">
                  <c:v>263070</c:v>
                </c:pt>
                <c:pt idx="4">
                  <c:v>207220</c:v>
                </c:pt>
                <c:pt idx="5">
                  <c:v>140520</c:v>
                </c:pt>
                <c:pt idx="6">
                  <c:v>140320</c:v>
                </c:pt>
                <c:pt idx="7">
                  <c:v>169870</c:v>
                </c:pt>
                <c:pt idx="8">
                  <c:v>111270</c:v>
                </c:pt>
                <c:pt idx="9">
                  <c:v>131070</c:v>
                </c:pt>
                <c:pt idx="10">
                  <c:v>130870</c:v>
                </c:pt>
                <c:pt idx="11">
                  <c:v>150670</c:v>
                </c:pt>
                <c:pt idx="12">
                  <c:v>150470</c:v>
                </c:pt>
              </c:numCache>
            </c:numRef>
          </c:val>
          <c:smooth val="0"/>
          <c:extLst>
            <c:ext xmlns:c16="http://schemas.microsoft.com/office/drawing/2014/chart" uri="{C3380CC4-5D6E-409C-BE32-E72D297353CC}">
              <c16:uniqueId val="{00000000-3F0A-46C8-9C5A-49B6D82A578E}"/>
            </c:ext>
          </c:extLst>
        </c:ser>
        <c:ser>
          <c:idx val="1"/>
          <c:order val="1"/>
          <c:tx>
            <c:strRef>
              <c:f>'13-Week Forecast'!$B$38</c:f>
              <c:strCache>
                <c:ptCount val="1"/>
                <c:pt idx="0">
                  <c:v>Minimum cash target</c:v>
                </c:pt>
              </c:strCache>
            </c:strRef>
          </c:tx>
          <c:spPr>
            <a:ln w="12600">
              <a:solidFill>
                <a:srgbClr val="A13544"/>
              </a:solidFill>
              <a:prstDash val="dash"/>
              <a:round/>
            </a:ln>
          </c:spPr>
          <c:marker>
            <c:symbol val="none"/>
          </c:marker>
          <c:dLbls>
            <c:spPr>
              <a:noFill/>
              <a:ln>
                <a:noFill/>
              </a:ln>
              <a:effectLst/>
            </c:spPr>
            <c:txPr>
              <a:bodyPr wrap="none"/>
              <a:lstStyle/>
              <a:p>
                <a:pPr>
                  <a:defRPr sz="1000" b="0" u="none" strike="noStrike">
                    <a:uFillTx/>
                    <a:latin typeface="Arial"/>
                  </a:defRPr>
                </a:pPr>
                <a:endParaRPr lang="en-US"/>
              </a:p>
            </c:txP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15:leaderLines>
                  <c:spPr>
                    <a:ln w="12600">
                      <a:solidFill>
                        <a:srgbClr val="000000"/>
                      </a:solidFill>
                      <a:prstDash val="dash"/>
                    </a:ln>
                  </c:spPr>
                </c15:leaderLines>
              </c:ext>
            </c:extLst>
          </c:dLbls>
          <c:cat>
            <c:numRef>
              <c:f>'13-Week Forecast'!$C$6:$O$6</c:f>
              <c:numCache>
                <c:formatCode>mm/dd/yy</c:formatCode>
                <c:ptCount val="13"/>
                <c:pt idx="0">
                  <c:v>46241</c:v>
                </c:pt>
                <c:pt idx="1">
                  <c:v>46248</c:v>
                </c:pt>
                <c:pt idx="2">
                  <c:v>46255</c:v>
                </c:pt>
                <c:pt idx="3">
                  <c:v>46262</c:v>
                </c:pt>
                <c:pt idx="4">
                  <c:v>46269</c:v>
                </c:pt>
                <c:pt idx="5">
                  <c:v>46276</c:v>
                </c:pt>
                <c:pt idx="6">
                  <c:v>46283</c:v>
                </c:pt>
                <c:pt idx="7">
                  <c:v>46290</c:v>
                </c:pt>
                <c:pt idx="8">
                  <c:v>46297</c:v>
                </c:pt>
                <c:pt idx="9">
                  <c:v>46304</c:v>
                </c:pt>
                <c:pt idx="10">
                  <c:v>46311</c:v>
                </c:pt>
                <c:pt idx="11">
                  <c:v>46318</c:v>
                </c:pt>
                <c:pt idx="12">
                  <c:v>46325</c:v>
                </c:pt>
              </c:numCache>
            </c:numRef>
          </c:cat>
          <c:val>
            <c:numRef>
              <c:f>'13-Week Forecast'!$C$38:$O$38</c:f>
              <c:numCache>
                <c:formatCode>\$#,##0;"($"#,##0\);\-</c:formatCode>
                <c:ptCount val="13"/>
                <c:pt idx="0">
                  <c:v>100000</c:v>
                </c:pt>
                <c:pt idx="1">
                  <c:v>100000</c:v>
                </c:pt>
                <c:pt idx="2">
                  <c:v>100000</c:v>
                </c:pt>
                <c:pt idx="3">
                  <c:v>100000</c:v>
                </c:pt>
                <c:pt idx="4">
                  <c:v>100000</c:v>
                </c:pt>
                <c:pt idx="5">
                  <c:v>100000</c:v>
                </c:pt>
                <c:pt idx="6">
                  <c:v>100000</c:v>
                </c:pt>
                <c:pt idx="7">
                  <c:v>100000</c:v>
                </c:pt>
                <c:pt idx="8">
                  <c:v>100000</c:v>
                </c:pt>
                <c:pt idx="9">
                  <c:v>100000</c:v>
                </c:pt>
                <c:pt idx="10">
                  <c:v>100000</c:v>
                </c:pt>
                <c:pt idx="11">
                  <c:v>100000</c:v>
                </c:pt>
                <c:pt idx="12">
                  <c:v>100000</c:v>
                </c:pt>
              </c:numCache>
            </c:numRef>
          </c:val>
          <c:smooth val="0"/>
          <c:extLst>
            <c:ext xmlns:c16="http://schemas.microsoft.com/office/drawing/2014/chart" uri="{C3380CC4-5D6E-409C-BE32-E72D297353CC}">
              <c16:uniqueId val="{00000001-3F0A-46C8-9C5A-49B6D82A578E}"/>
            </c:ext>
          </c:extLst>
        </c:ser>
        <c:dLbls>
          <c:showLegendKey val="0"/>
          <c:showVal val="0"/>
          <c:showCatName val="0"/>
          <c:showSerName val="0"/>
          <c:showPercent val="0"/>
          <c:showBubbleSize val="0"/>
        </c:dLbls>
        <c:hiLowLines>
          <c:spPr>
            <a:ln w="0">
              <a:noFill/>
            </a:ln>
          </c:spPr>
        </c:hiLowLines>
        <c:smooth val="0"/>
        <c:axId val="75286796"/>
        <c:axId val="29990596"/>
      </c:lineChart>
      <c:dateAx>
        <c:axId val="75286796"/>
        <c:scaling>
          <c:orientation val="minMax"/>
        </c:scaling>
        <c:delete val="0"/>
        <c:axPos val="b"/>
        <c:title>
          <c:tx>
            <c:rich>
              <a:bodyPr rot="0"/>
              <a:lstStyle/>
              <a:p>
                <a:pPr>
                  <a:defRPr sz="1300" b="0" u="none" strike="noStrike">
                    <a:uFillTx/>
                    <a:latin typeface="Arial"/>
                  </a:defRPr>
                </a:pPr>
                <a:r>
                  <a:rPr lang="en-US" sz="1000" b="1" u="none" strike="noStrike">
                    <a:solidFill>
                      <a:srgbClr val="000000"/>
                    </a:solidFill>
                    <a:uFillTx/>
                    <a:latin typeface="Calibri"/>
                  </a:rPr>
                  <a:t>Week ending</a:t>
                </a:r>
              </a:p>
            </c:rich>
          </c:tx>
          <c:overlay val="0"/>
          <c:spPr>
            <a:noFill/>
            <a:ln w="0">
              <a:noFill/>
            </a:ln>
          </c:spPr>
        </c:title>
        <c:numFmt formatCode="mm/dd/yy" sourceLinked="1"/>
        <c:majorTickMark val="none"/>
        <c:minorTickMark val="none"/>
        <c:tickLblPos val="nextTo"/>
        <c:spPr>
          <a:ln w="9360">
            <a:solidFill>
              <a:srgbClr val="878787"/>
            </a:solidFill>
            <a:round/>
          </a:ln>
        </c:spPr>
        <c:txPr>
          <a:bodyPr/>
          <a:lstStyle/>
          <a:p>
            <a:pPr>
              <a:defRPr sz="1000" b="0" u="none" strike="noStrike">
                <a:solidFill>
                  <a:srgbClr val="000000"/>
                </a:solidFill>
                <a:uFillTx/>
                <a:latin typeface="Calibri"/>
              </a:defRPr>
            </a:pPr>
            <a:endParaRPr lang="en-US"/>
          </a:p>
        </c:txPr>
        <c:crossAx val="29990596"/>
        <c:crosses val="autoZero"/>
        <c:auto val="1"/>
        <c:lblOffset val="100"/>
        <c:baseTimeUnit val="days"/>
      </c:dateAx>
      <c:valAx>
        <c:axId val="29990596"/>
        <c:scaling>
          <c:orientation val="minMax"/>
        </c:scaling>
        <c:delete val="0"/>
        <c:axPos val="l"/>
        <c:majorGridlines>
          <c:spPr>
            <a:ln w="9360">
              <a:solidFill>
                <a:srgbClr val="878787"/>
              </a:solidFill>
              <a:round/>
            </a:ln>
          </c:spPr>
        </c:majorGridlines>
        <c:title>
          <c:tx>
            <c:rich>
              <a:bodyPr rot="-5400000"/>
              <a:lstStyle/>
              <a:p>
                <a:pPr>
                  <a:defRPr sz="1300" b="0" u="none" strike="noStrike">
                    <a:uFillTx/>
                    <a:latin typeface="Arial"/>
                  </a:defRPr>
                </a:pPr>
                <a:r>
                  <a:rPr lang="en-US" sz="1000" b="1" u="none" strike="noStrike">
                    <a:solidFill>
                      <a:srgbClr val="000000"/>
                    </a:solidFill>
                    <a:uFillTx/>
                    <a:latin typeface="Calibri"/>
                  </a:rPr>
                  <a:t>Cash</a:t>
                </a:r>
              </a:p>
            </c:rich>
          </c:tx>
          <c:overlay val="0"/>
          <c:spPr>
            <a:noFill/>
            <a:ln w="0">
              <a:noFill/>
            </a:ln>
          </c:spPr>
        </c:title>
        <c:numFmt formatCode="\$#,##0" sourceLinked="0"/>
        <c:majorTickMark val="none"/>
        <c:minorTickMark val="none"/>
        <c:tickLblPos val="nextTo"/>
        <c:spPr>
          <a:ln w="9360">
            <a:solidFill>
              <a:srgbClr val="878787"/>
            </a:solidFill>
            <a:round/>
          </a:ln>
        </c:spPr>
        <c:txPr>
          <a:bodyPr/>
          <a:lstStyle/>
          <a:p>
            <a:pPr>
              <a:defRPr sz="1000" b="0" u="none" strike="noStrike">
                <a:solidFill>
                  <a:srgbClr val="000000"/>
                </a:solidFill>
                <a:uFillTx/>
                <a:latin typeface="Calibri"/>
              </a:defRPr>
            </a:pPr>
            <a:endParaRPr lang="en-US"/>
          </a:p>
        </c:txPr>
        <c:crossAx val="75286796"/>
        <c:crosses val="autoZero"/>
        <c:crossBetween val="between"/>
      </c:valAx>
      <c:spPr>
        <a:solidFill>
          <a:srgbClr val="FFFFFF"/>
        </a:solidFill>
        <a:ln w="0">
          <a:noFill/>
        </a:ln>
      </c:spPr>
    </c:plotArea>
    <c:legend>
      <c:legendPos val="r"/>
      <c:overlay val="0"/>
      <c:spPr>
        <a:noFill/>
        <a:ln w="0">
          <a:noFill/>
        </a:ln>
      </c:spPr>
      <c:txPr>
        <a:bodyPr/>
        <a:lstStyle/>
        <a:p>
          <a:pPr>
            <a:defRPr sz="1000" b="0" u="none" strike="noStrike">
              <a:solidFill>
                <a:srgbClr val="000000"/>
              </a:solidFill>
              <a:uFillTx/>
              <a:latin typeface="Calibri"/>
            </a:defRPr>
          </a:pPr>
          <a:endParaRPr lang="en-US"/>
        </a:p>
      </c:txPr>
    </c:legend>
    <c:plotVisOnly val="1"/>
    <c:dispBlanksAs val="gap"/>
    <c:showDLblsOverMax val="1"/>
  </c:chart>
  <c:spPr>
    <a:solidFill>
      <a:srgbClr val="FFFFFF"/>
    </a:solidFill>
    <a:ln w="9360">
      <a:solidFill>
        <a:srgbClr val="D9D9D9"/>
      </a:solidFill>
      <a:round/>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19</xdr:row>
      <xdr:rowOff>0</xdr:rowOff>
    </xdr:from>
    <xdr:to>
      <xdr:col>3</xdr:col>
      <xdr:colOff>3831480</xdr:colOff>
      <xdr:row>36</xdr:row>
      <xdr:rowOff>1080</xdr:rowOff>
    </xdr:to>
    <xdr:graphicFrame macro="">
      <xdr:nvGraphicFramePr>
        <xdr:cNvPr id="2" name="Chart 1">
          <a:extLst>
            <a:ext uri="{FF2B5EF4-FFF2-40B4-BE49-F238E27FC236}">
              <a16:creationId xmlns:a16="http://schemas.microsoft.com/office/drawing/2014/main" id="{00000000-0008-0000-05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6.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I21"/>
  <sheetViews>
    <sheetView showGridLines="0" zoomScaleNormal="100" workbookViewId="0">
      <selection activeCell="K15" sqref="K15"/>
    </sheetView>
  </sheetViews>
  <sheetFormatPr defaultColWidth="8.68359375" defaultRowHeight="14.4" x14ac:dyDescent="0.55000000000000004"/>
  <cols>
    <col min="1" max="1" width="3" customWidth="1"/>
    <col min="2" max="2" width="4" customWidth="1"/>
    <col min="3" max="3" width="108" customWidth="1"/>
  </cols>
  <sheetData>
    <row r="2" spans="2:9" ht="20.399999999999999" x14ac:dyDescent="0.75">
      <c r="B2" s="1" t="s">
        <v>0</v>
      </c>
    </row>
    <row r="3" spans="2:9" x14ac:dyDescent="0.55000000000000004">
      <c r="B3" s="2" t="s">
        <v>1</v>
      </c>
    </row>
    <row r="4" spans="2:9" x14ac:dyDescent="0.55000000000000004">
      <c r="E4" s="46" t="s">
        <v>188</v>
      </c>
      <c r="F4" s="46"/>
      <c r="G4" s="46"/>
      <c r="H4" s="46"/>
      <c r="I4" s="46"/>
    </row>
    <row r="5" spans="2:9" ht="15.6" x14ac:dyDescent="0.6">
      <c r="B5" s="3" t="s">
        <v>2</v>
      </c>
      <c r="C5" s="4"/>
      <c r="E5" s="46"/>
      <c r="F5" s="46"/>
      <c r="G5" s="46"/>
      <c r="H5" s="46"/>
      <c r="I5" s="46"/>
    </row>
    <row r="6" spans="2:9" x14ac:dyDescent="0.55000000000000004">
      <c r="E6" s="46"/>
      <c r="F6" s="46"/>
      <c r="G6" s="46"/>
      <c r="H6" s="46"/>
      <c r="I6" s="46"/>
    </row>
    <row r="7" spans="2:9" ht="30" customHeight="1" x14ac:dyDescent="0.55000000000000004">
      <c r="C7" s="5" t="s">
        <v>182</v>
      </c>
      <c r="E7" s="46"/>
      <c r="F7" s="46"/>
      <c r="G7" s="46"/>
      <c r="H7" s="46"/>
      <c r="I7" s="46"/>
    </row>
    <row r="8" spans="2:9" ht="30" customHeight="1" x14ac:dyDescent="0.55000000000000004">
      <c r="C8" s="5" t="s">
        <v>183</v>
      </c>
      <c r="E8" s="46"/>
      <c r="F8" s="46"/>
      <c r="G8" s="46"/>
      <c r="H8" s="46"/>
      <c r="I8" s="46"/>
    </row>
    <row r="9" spans="2:9" ht="30" customHeight="1" x14ac:dyDescent="0.55000000000000004">
      <c r="C9" s="5" t="s">
        <v>184</v>
      </c>
      <c r="E9" s="46"/>
      <c r="F9" s="46"/>
      <c r="G9" s="46"/>
      <c r="H9" s="46"/>
      <c r="I9" s="46"/>
    </row>
    <row r="10" spans="2:9" ht="30" customHeight="1" x14ac:dyDescent="0.55000000000000004">
      <c r="C10" s="5" t="s">
        <v>185</v>
      </c>
      <c r="E10" s="46"/>
      <c r="F10" s="46"/>
      <c r="G10" s="46"/>
      <c r="H10" s="46"/>
      <c r="I10" s="46"/>
    </row>
    <row r="11" spans="2:9" ht="30" customHeight="1" x14ac:dyDescent="0.55000000000000004">
      <c r="C11" s="5" t="s">
        <v>186</v>
      </c>
      <c r="E11" s="46"/>
      <c r="F11" s="46"/>
      <c r="G11" s="46"/>
      <c r="H11" s="46"/>
      <c r="I11" s="46"/>
    </row>
    <row r="12" spans="2:9" ht="30" customHeight="1" x14ac:dyDescent="0.55000000000000004">
      <c r="C12" s="5" t="s">
        <v>187</v>
      </c>
      <c r="E12" s="46"/>
      <c r="F12" s="46"/>
      <c r="G12" s="46"/>
      <c r="H12" s="46"/>
      <c r="I12" s="46"/>
    </row>
    <row r="13" spans="2:9" ht="15.6" x14ac:dyDescent="0.6">
      <c r="B13" s="3" t="s">
        <v>3</v>
      </c>
      <c r="C13" s="4"/>
    </row>
    <row r="15" spans="2:9" ht="15" customHeight="1" x14ac:dyDescent="0.55000000000000004">
      <c r="C15" s="5" t="s">
        <v>4</v>
      </c>
    </row>
    <row r="16" spans="2:9" ht="15" customHeight="1" x14ac:dyDescent="0.55000000000000004">
      <c r="C16" s="5" t="s">
        <v>5</v>
      </c>
    </row>
    <row r="17" spans="2:3" ht="15" customHeight="1" x14ac:dyDescent="0.55000000000000004">
      <c r="C17" s="5" t="s">
        <v>6</v>
      </c>
    </row>
    <row r="18" spans="2:3" ht="15.6" x14ac:dyDescent="0.6">
      <c r="B18" s="3" t="s">
        <v>7</v>
      </c>
      <c r="C18" s="4"/>
    </row>
    <row r="20" spans="2:3" ht="30" customHeight="1" x14ac:dyDescent="0.55000000000000004">
      <c r="C20" s="5" t="s">
        <v>8</v>
      </c>
    </row>
    <row r="21" spans="2:3" ht="30" customHeight="1" x14ac:dyDescent="0.55000000000000004">
      <c r="C21" s="5" t="s">
        <v>9</v>
      </c>
    </row>
  </sheetData>
  <sheetProtection algorithmName="SHA-512" hashValue="ri0itiiYr4A6DG9DkCn4qBbnKw92rnunn6Qvt9wYhcVxOhfucCrOGDIfnA9CRjGH5YJ686JN3wCC6aiQjYakXQ==" saltValue="ULTsrBZyonfIU9EXJO+E0A==" spinCount="100000" sheet="1" objects="1" scenarios="1"/>
  <mergeCells count="1">
    <mergeCell ref="E4:I12"/>
  </mergeCells>
  <printOptions horizontalCentered="1"/>
  <pageMargins left="0.75" right="0.75" top="1" bottom="1" header="0.511811023622047" footer="0.511811023622047"/>
  <pageSetup fitToHeight="0" orientation="landscape"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2:P50"/>
  <sheetViews>
    <sheetView showGridLines="0" zoomScaleNormal="100" workbookViewId="0"/>
  </sheetViews>
  <sheetFormatPr defaultColWidth="8.68359375" defaultRowHeight="14.4" x14ac:dyDescent="0.55000000000000004"/>
  <cols>
    <col min="1" max="1" width="3" customWidth="1"/>
    <col min="2" max="2" width="46" customWidth="1"/>
    <col min="3" max="3" width="11" customWidth="1"/>
    <col min="4" max="4" width="26" customWidth="1"/>
    <col min="5" max="16" width="11" customWidth="1"/>
  </cols>
  <sheetData>
    <row r="2" spans="2:4" ht="20.399999999999999" x14ac:dyDescent="0.75">
      <c r="B2" s="1" t="s">
        <v>10</v>
      </c>
    </row>
    <row r="3" spans="2:4" x14ac:dyDescent="0.55000000000000004">
      <c r="B3" s="2" t="s">
        <v>11</v>
      </c>
    </row>
    <row r="5" spans="2:4" x14ac:dyDescent="0.55000000000000004">
      <c r="B5" s="6" t="s">
        <v>12</v>
      </c>
      <c r="C5" s="4"/>
      <c r="D5" s="4"/>
    </row>
    <row r="6" spans="2:4" x14ac:dyDescent="0.55000000000000004">
      <c r="B6" s="7" t="s">
        <v>13</v>
      </c>
      <c r="C6" s="8">
        <v>46241</v>
      </c>
    </row>
    <row r="7" spans="2:4" x14ac:dyDescent="0.55000000000000004">
      <c r="B7" s="7" t="s">
        <v>14</v>
      </c>
      <c r="C7" s="9">
        <v>0</v>
      </c>
    </row>
    <row r="8" spans="2:4" x14ac:dyDescent="0.55000000000000004">
      <c r="B8" s="7" t="s">
        <v>15</v>
      </c>
      <c r="C8" s="10">
        <v>118000</v>
      </c>
    </row>
    <row r="9" spans="2:4" x14ac:dyDescent="0.55000000000000004">
      <c r="B9" s="7" t="s">
        <v>16</v>
      </c>
      <c r="C9" s="10">
        <v>100000</v>
      </c>
    </row>
    <row r="10" spans="2:4" x14ac:dyDescent="0.55000000000000004">
      <c r="B10" s="7" t="s">
        <v>17</v>
      </c>
      <c r="C10" s="10">
        <v>250000</v>
      </c>
    </row>
    <row r="11" spans="2:4" x14ac:dyDescent="0.55000000000000004">
      <c r="B11" s="7" t="s">
        <v>18</v>
      </c>
      <c r="C11" s="10">
        <v>50000</v>
      </c>
    </row>
    <row r="13" spans="2:4" x14ac:dyDescent="0.55000000000000004">
      <c r="B13" s="6" t="s">
        <v>19</v>
      </c>
      <c r="C13" s="4"/>
      <c r="D13" s="4"/>
    </row>
    <row r="14" spans="2:4" x14ac:dyDescent="0.55000000000000004">
      <c r="B14" s="7" t="s">
        <v>20</v>
      </c>
      <c r="C14" s="10">
        <v>44000</v>
      </c>
    </row>
    <row r="15" spans="2:4" x14ac:dyDescent="0.55000000000000004">
      <c r="B15" s="7" t="s">
        <v>21</v>
      </c>
      <c r="C15" s="11">
        <v>0.2</v>
      </c>
    </row>
    <row r="16" spans="2:4" x14ac:dyDescent="0.55000000000000004">
      <c r="B16" s="7" t="s">
        <v>22</v>
      </c>
      <c r="C16" s="11">
        <v>0.35</v>
      </c>
    </row>
    <row r="17" spans="2:4" x14ac:dyDescent="0.55000000000000004">
      <c r="B17" s="7" t="s">
        <v>23</v>
      </c>
      <c r="C17" s="11">
        <v>0.25</v>
      </c>
    </row>
    <row r="18" spans="2:4" x14ac:dyDescent="0.55000000000000004">
      <c r="B18" s="7" t="s">
        <v>24</v>
      </c>
      <c r="C18" s="11">
        <v>0.15</v>
      </c>
    </row>
    <row r="19" spans="2:4" x14ac:dyDescent="0.55000000000000004">
      <c r="B19" s="7" t="s">
        <v>25</v>
      </c>
      <c r="C19" s="11">
        <v>0.05</v>
      </c>
    </row>
    <row r="20" spans="2:4" x14ac:dyDescent="0.55000000000000004">
      <c r="B20" s="12" t="s">
        <v>26</v>
      </c>
      <c r="C20" s="13">
        <f>SUM(C15:C19)</f>
        <v>1</v>
      </c>
      <c r="D20" s="2" t="str">
        <f>IF(ROUND(C20,4)=1,"OK","FIX - must total 100%")</f>
        <v>OK</v>
      </c>
    </row>
    <row r="21" spans="2:4" x14ac:dyDescent="0.55000000000000004">
      <c r="B21" s="7" t="s">
        <v>27</v>
      </c>
      <c r="C21" s="14">
        <f>SUM('AR &amp; AP Detail'!E8:E16)</f>
        <v>273250</v>
      </c>
    </row>
    <row r="22" spans="2:4" x14ac:dyDescent="0.55000000000000004">
      <c r="B22" s="7" t="s">
        <v>28</v>
      </c>
      <c r="C22" s="14">
        <f>SUM('AR &amp; AP Detail'!E23:E31)</f>
        <v>163100</v>
      </c>
    </row>
    <row r="23" spans="2:4" x14ac:dyDescent="0.55000000000000004">
      <c r="B23" s="7" t="s">
        <v>29</v>
      </c>
      <c r="C23" s="10">
        <v>0</v>
      </c>
    </row>
    <row r="25" spans="2:4" x14ac:dyDescent="0.55000000000000004">
      <c r="B25" s="6" t="s">
        <v>30</v>
      </c>
      <c r="C25" s="4"/>
      <c r="D25" s="4"/>
    </row>
    <row r="26" spans="2:4" x14ac:dyDescent="0.55000000000000004">
      <c r="B26" s="7" t="s">
        <v>31</v>
      </c>
      <c r="C26" s="11">
        <v>0.38</v>
      </c>
    </row>
    <row r="27" spans="2:4" x14ac:dyDescent="0.55000000000000004">
      <c r="B27" s="7" t="s">
        <v>32</v>
      </c>
      <c r="C27" s="9">
        <v>3</v>
      </c>
    </row>
    <row r="28" spans="2:4" x14ac:dyDescent="0.55000000000000004">
      <c r="B28" s="7" t="s">
        <v>33</v>
      </c>
      <c r="C28" s="11">
        <v>0.17</v>
      </c>
    </row>
    <row r="29" spans="2:4" x14ac:dyDescent="0.55000000000000004">
      <c r="B29" s="7" t="s">
        <v>34</v>
      </c>
      <c r="C29" s="9">
        <v>2</v>
      </c>
    </row>
    <row r="30" spans="2:4" x14ac:dyDescent="0.55000000000000004">
      <c r="B30" s="7" t="s">
        <v>35</v>
      </c>
      <c r="C30" s="10">
        <v>20000</v>
      </c>
    </row>
    <row r="31" spans="2:4" x14ac:dyDescent="0.55000000000000004">
      <c r="B31" s="7" t="s">
        <v>36</v>
      </c>
      <c r="C31" s="9">
        <v>2</v>
      </c>
    </row>
    <row r="32" spans="2:4" x14ac:dyDescent="0.55000000000000004">
      <c r="B32" s="7" t="s">
        <v>37</v>
      </c>
      <c r="C32" s="9">
        <v>1</v>
      </c>
    </row>
    <row r="33" spans="2:16" x14ac:dyDescent="0.55000000000000004">
      <c r="B33" s="12" t="s">
        <v>38</v>
      </c>
      <c r="C33" s="13">
        <f>1-C26-C28</f>
        <v>0.44999999999999996</v>
      </c>
    </row>
    <row r="35" spans="2:16" x14ac:dyDescent="0.55000000000000004">
      <c r="B35" s="6" t="s">
        <v>39</v>
      </c>
      <c r="C35" s="4"/>
      <c r="D35" s="4"/>
    </row>
    <row r="36" spans="2:16" x14ac:dyDescent="0.55000000000000004">
      <c r="B36" s="7" t="s">
        <v>40</v>
      </c>
      <c r="C36" s="10">
        <v>6500</v>
      </c>
    </row>
    <row r="37" spans="2:16" x14ac:dyDescent="0.55000000000000004">
      <c r="B37" s="7" t="s">
        <v>41</v>
      </c>
      <c r="C37" s="10">
        <v>1800</v>
      </c>
    </row>
    <row r="38" spans="2:16" x14ac:dyDescent="0.55000000000000004">
      <c r="B38" s="7" t="s">
        <v>42</v>
      </c>
      <c r="C38" s="10">
        <v>4500</v>
      </c>
    </row>
    <row r="39" spans="2:16" x14ac:dyDescent="0.55000000000000004">
      <c r="B39" s="7" t="s">
        <v>43</v>
      </c>
      <c r="C39" s="10">
        <v>2400</v>
      </c>
    </row>
    <row r="40" spans="2:16" x14ac:dyDescent="0.55000000000000004">
      <c r="B40" s="7" t="s">
        <v>44</v>
      </c>
      <c r="C40" s="10">
        <v>3200</v>
      </c>
    </row>
    <row r="41" spans="2:16" x14ac:dyDescent="0.55000000000000004">
      <c r="B41" s="6" t="s">
        <v>45</v>
      </c>
      <c r="C41" s="4"/>
      <c r="D41" s="4"/>
      <c r="E41" s="4"/>
      <c r="F41" s="4"/>
      <c r="G41" s="4"/>
      <c r="H41" s="4"/>
      <c r="I41" s="4"/>
      <c r="J41" s="4"/>
      <c r="K41" s="4"/>
      <c r="L41" s="4"/>
      <c r="M41" s="4"/>
      <c r="N41" s="4"/>
      <c r="O41" s="4"/>
    </row>
    <row r="42" spans="2:16" x14ac:dyDescent="0.55000000000000004">
      <c r="B42" s="15" t="s">
        <v>46</v>
      </c>
      <c r="C42" s="16">
        <v>1</v>
      </c>
      <c r="D42" s="16">
        <v>2</v>
      </c>
      <c r="E42" s="16">
        <v>3</v>
      </c>
      <c r="F42" s="16">
        <v>4</v>
      </c>
      <c r="G42" s="16">
        <v>5</v>
      </c>
      <c r="H42" s="16">
        <v>6</v>
      </c>
      <c r="I42" s="16">
        <v>7</v>
      </c>
      <c r="J42" s="16">
        <v>8</v>
      </c>
      <c r="K42" s="16">
        <v>9</v>
      </c>
      <c r="L42" s="16">
        <v>10</v>
      </c>
      <c r="M42" s="16">
        <v>11</v>
      </c>
      <c r="N42" s="16">
        <v>12</v>
      </c>
      <c r="O42" s="16">
        <v>13</v>
      </c>
      <c r="P42" s="17" t="s">
        <v>47</v>
      </c>
    </row>
    <row r="43" spans="2:16" x14ac:dyDescent="0.55000000000000004">
      <c r="B43" s="7" t="s">
        <v>48</v>
      </c>
      <c r="C43" s="18">
        <v>1</v>
      </c>
      <c r="D43" s="18">
        <v>1</v>
      </c>
      <c r="E43" s="18">
        <v>1</v>
      </c>
      <c r="F43" s="18">
        <v>1</v>
      </c>
      <c r="G43" s="18">
        <v>1</v>
      </c>
      <c r="H43" s="18">
        <v>1</v>
      </c>
      <c r="I43" s="18">
        <v>1</v>
      </c>
      <c r="J43" s="18">
        <v>1</v>
      </c>
      <c r="K43" s="18">
        <v>1</v>
      </c>
      <c r="L43" s="18">
        <v>1</v>
      </c>
      <c r="M43" s="18">
        <v>1</v>
      </c>
      <c r="N43" s="18">
        <v>1</v>
      </c>
      <c r="O43" s="18">
        <v>1</v>
      </c>
    </row>
    <row r="44" spans="2:16" x14ac:dyDescent="0.55000000000000004">
      <c r="B44" s="7" t="s">
        <v>49</v>
      </c>
      <c r="C44" s="10">
        <v>0</v>
      </c>
      <c r="D44" s="10">
        <v>0</v>
      </c>
      <c r="E44" s="10">
        <v>0</v>
      </c>
      <c r="F44" s="10">
        <v>0</v>
      </c>
      <c r="G44" s="10">
        <v>0</v>
      </c>
      <c r="H44" s="10">
        <v>65000</v>
      </c>
      <c r="I44" s="10">
        <v>0</v>
      </c>
      <c r="J44" s="10">
        <v>0</v>
      </c>
      <c r="K44" s="10">
        <v>0</v>
      </c>
      <c r="L44" s="10">
        <v>0</v>
      </c>
      <c r="M44" s="10">
        <v>0</v>
      </c>
      <c r="N44" s="10">
        <v>0</v>
      </c>
      <c r="O44" s="10">
        <v>0</v>
      </c>
      <c r="P44" s="19">
        <f t="shared" ref="P44:P50" si="0">SUM(C44:O44)</f>
        <v>65000</v>
      </c>
    </row>
    <row r="45" spans="2:16" x14ac:dyDescent="0.55000000000000004">
      <c r="B45" s="7" t="s">
        <v>50</v>
      </c>
      <c r="C45" s="10">
        <v>0</v>
      </c>
      <c r="D45" s="10">
        <v>0</v>
      </c>
      <c r="E45" s="10">
        <v>0</v>
      </c>
      <c r="F45" s="10">
        <v>0</v>
      </c>
      <c r="G45" s="10">
        <v>0</v>
      </c>
      <c r="H45" s="10">
        <v>0</v>
      </c>
      <c r="I45" s="10">
        <v>0</v>
      </c>
      <c r="J45" s="10">
        <v>0</v>
      </c>
      <c r="K45" s="10">
        <v>40000</v>
      </c>
      <c r="L45" s="10">
        <v>0</v>
      </c>
      <c r="M45" s="10">
        <v>0</v>
      </c>
      <c r="N45" s="10">
        <v>0</v>
      </c>
      <c r="O45" s="10">
        <v>0</v>
      </c>
      <c r="P45" s="19">
        <f t="shared" si="0"/>
        <v>40000</v>
      </c>
    </row>
    <row r="46" spans="2:16" x14ac:dyDescent="0.55000000000000004">
      <c r="B46" s="7" t="s">
        <v>51</v>
      </c>
      <c r="C46" s="10">
        <v>0</v>
      </c>
      <c r="D46" s="10">
        <v>0</v>
      </c>
      <c r="E46" s="10">
        <v>0</v>
      </c>
      <c r="F46" s="10">
        <v>0</v>
      </c>
      <c r="G46" s="10">
        <v>0</v>
      </c>
      <c r="H46" s="10">
        <v>0</v>
      </c>
      <c r="I46" s="10">
        <v>0</v>
      </c>
      <c r="J46" s="10">
        <v>0</v>
      </c>
      <c r="K46" s="10">
        <v>0</v>
      </c>
      <c r="L46" s="10">
        <v>0</v>
      </c>
      <c r="M46" s="10">
        <v>0</v>
      </c>
      <c r="N46" s="10">
        <v>0</v>
      </c>
      <c r="O46" s="10">
        <v>0</v>
      </c>
      <c r="P46" s="19">
        <f t="shared" si="0"/>
        <v>0</v>
      </c>
    </row>
    <row r="47" spans="2:16" x14ac:dyDescent="0.55000000000000004">
      <c r="B47" s="7" t="s">
        <v>52</v>
      </c>
      <c r="C47" s="10">
        <v>0</v>
      </c>
      <c r="D47" s="10">
        <v>0</v>
      </c>
      <c r="E47" s="10">
        <v>0</v>
      </c>
      <c r="F47" s="10">
        <v>0</v>
      </c>
      <c r="G47" s="10">
        <v>0</v>
      </c>
      <c r="H47" s="10">
        <v>0</v>
      </c>
      <c r="I47" s="10">
        <v>0</v>
      </c>
      <c r="J47" s="10">
        <v>0</v>
      </c>
      <c r="K47" s="10">
        <v>0</v>
      </c>
      <c r="L47" s="10">
        <v>0</v>
      </c>
      <c r="M47" s="10">
        <v>0</v>
      </c>
      <c r="N47" s="10">
        <v>0</v>
      </c>
      <c r="O47" s="10">
        <v>0</v>
      </c>
      <c r="P47" s="19">
        <f t="shared" si="0"/>
        <v>0</v>
      </c>
    </row>
    <row r="48" spans="2:16" x14ac:dyDescent="0.55000000000000004">
      <c r="B48" s="7" t="s">
        <v>53</v>
      </c>
      <c r="C48" s="10">
        <v>0</v>
      </c>
      <c r="D48" s="10">
        <v>0</v>
      </c>
      <c r="E48" s="10">
        <v>0</v>
      </c>
      <c r="F48" s="10">
        <v>0</v>
      </c>
      <c r="G48" s="10">
        <v>0</v>
      </c>
      <c r="H48" s="10">
        <v>0</v>
      </c>
      <c r="I48" s="10">
        <v>0</v>
      </c>
      <c r="J48" s="10">
        <v>0</v>
      </c>
      <c r="K48" s="10">
        <v>0</v>
      </c>
      <c r="L48" s="10">
        <v>0</v>
      </c>
      <c r="M48" s="10">
        <v>0</v>
      </c>
      <c r="N48" s="10">
        <v>0</v>
      </c>
      <c r="O48" s="10">
        <v>0</v>
      </c>
      <c r="P48" s="19">
        <f t="shared" si="0"/>
        <v>0</v>
      </c>
    </row>
    <row r="49" spans="2:16" x14ac:dyDescent="0.55000000000000004">
      <c r="B49" s="7" t="s">
        <v>54</v>
      </c>
      <c r="C49" s="10">
        <v>0</v>
      </c>
      <c r="D49" s="10">
        <v>0</v>
      </c>
      <c r="E49" s="10">
        <v>0</v>
      </c>
      <c r="F49" s="10">
        <v>0</v>
      </c>
      <c r="G49" s="10">
        <v>34000</v>
      </c>
      <c r="H49" s="10">
        <v>0</v>
      </c>
      <c r="I49" s="10">
        <v>0</v>
      </c>
      <c r="J49" s="10">
        <v>0</v>
      </c>
      <c r="K49" s="10">
        <v>0</v>
      </c>
      <c r="L49" s="10">
        <v>0</v>
      </c>
      <c r="M49" s="10">
        <v>0</v>
      </c>
      <c r="N49" s="10">
        <v>0</v>
      </c>
      <c r="O49" s="10">
        <v>0</v>
      </c>
      <c r="P49" s="19">
        <f t="shared" si="0"/>
        <v>34000</v>
      </c>
    </row>
    <row r="50" spans="2:16" x14ac:dyDescent="0.55000000000000004">
      <c r="B50" s="12" t="s">
        <v>55</v>
      </c>
      <c r="C50" s="20">
        <f t="shared" ref="C50:O50" si="1">$C$14*C43</f>
        <v>44000</v>
      </c>
      <c r="D50" s="20">
        <f t="shared" si="1"/>
        <v>44000</v>
      </c>
      <c r="E50" s="20">
        <f t="shared" si="1"/>
        <v>44000</v>
      </c>
      <c r="F50" s="20">
        <f t="shared" si="1"/>
        <v>44000</v>
      </c>
      <c r="G50" s="20">
        <f t="shared" si="1"/>
        <v>44000</v>
      </c>
      <c r="H50" s="20">
        <f t="shared" si="1"/>
        <v>44000</v>
      </c>
      <c r="I50" s="20">
        <f t="shared" si="1"/>
        <v>44000</v>
      </c>
      <c r="J50" s="20">
        <f t="shared" si="1"/>
        <v>44000</v>
      </c>
      <c r="K50" s="20">
        <f t="shared" si="1"/>
        <v>44000</v>
      </c>
      <c r="L50" s="20">
        <f t="shared" si="1"/>
        <v>44000</v>
      </c>
      <c r="M50" s="20">
        <f t="shared" si="1"/>
        <v>44000</v>
      </c>
      <c r="N50" s="20">
        <f t="shared" si="1"/>
        <v>44000</v>
      </c>
      <c r="O50" s="20">
        <f t="shared" si="1"/>
        <v>44000</v>
      </c>
      <c r="P50" s="19">
        <f t="shared" si="0"/>
        <v>572000</v>
      </c>
    </row>
  </sheetData>
  <printOptions horizontalCentered="1"/>
  <pageMargins left="0.75" right="0.75" top="1" bottom="1" header="0.511811023622047" footer="0.511811023622047"/>
  <pageSetup fitToHeight="0" orientation="landscape"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2:G32"/>
  <sheetViews>
    <sheetView showGridLines="0" topLeftCell="A15" zoomScaleNormal="100" workbookViewId="0">
      <selection activeCell="B8" sqref="B8"/>
    </sheetView>
  </sheetViews>
  <sheetFormatPr defaultColWidth="8.68359375" defaultRowHeight="14.4" x14ac:dyDescent="0.55000000000000004"/>
  <cols>
    <col min="1" max="1" width="3" customWidth="1"/>
    <col min="2" max="2" width="26" customWidth="1"/>
    <col min="3" max="3" width="14" customWidth="1"/>
    <col min="4" max="4" width="13" customWidth="1"/>
    <col min="5" max="5" width="14" customWidth="1"/>
    <col min="6" max="6" width="15" customWidth="1"/>
    <col min="7" max="7" width="46" customWidth="1"/>
  </cols>
  <sheetData>
    <row r="2" spans="2:7" ht="20.399999999999999" x14ac:dyDescent="0.75">
      <c r="B2" s="1" t="s">
        <v>56</v>
      </c>
    </row>
    <row r="3" spans="2:7" x14ac:dyDescent="0.55000000000000004">
      <c r="B3" s="2" t="s">
        <v>57</v>
      </c>
    </row>
    <row r="5" spans="2:7" ht="15.6" x14ac:dyDescent="0.6">
      <c r="B5" s="21" t="s">
        <v>58</v>
      </c>
    </row>
    <row r="6" spans="2:7" x14ac:dyDescent="0.55000000000000004">
      <c r="B6" s="2" t="s">
        <v>59</v>
      </c>
    </row>
    <row r="7" spans="2:7" x14ac:dyDescent="0.55000000000000004">
      <c r="B7" s="22" t="s">
        <v>60</v>
      </c>
      <c r="C7" s="22" t="s">
        <v>61</v>
      </c>
      <c r="D7" s="22" t="s">
        <v>62</v>
      </c>
      <c r="E7" s="22" t="s">
        <v>63</v>
      </c>
      <c r="F7" s="22" t="s">
        <v>64</v>
      </c>
      <c r="G7" s="22" t="s">
        <v>65</v>
      </c>
    </row>
    <row r="8" spans="2:7" x14ac:dyDescent="0.55000000000000004">
      <c r="B8" s="23" t="s">
        <v>66</v>
      </c>
      <c r="C8" s="23" t="s">
        <v>67</v>
      </c>
      <c r="D8" s="24">
        <v>46199</v>
      </c>
      <c r="E8" s="25">
        <v>68500</v>
      </c>
      <c r="F8" s="26">
        <v>1</v>
      </c>
      <c r="G8" s="23" t="s">
        <v>68</v>
      </c>
    </row>
    <row r="9" spans="2:7" x14ac:dyDescent="0.55000000000000004">
      <c r="B9" s="23" t="s">
        <v>69</v>
      </c>
      <c r="C9" s="23" t="s">
        <v>70</v>
      </c>
      <c r="D9" s="24">
        <v>46213</v>
      </c>
      <c r="E9" s="25">
        <v>42750</v>
      </c>
      <c r="F9" s="26">
        <v>1</v>
      </c>
      <c r="G9" s="23" t="s">
        <v>71</v>
      </c>
    </row>
    <row r="10" spans="2:7" x14ac:dyDescent="0.55000000000000004">
      <c r="B10" s="23" t="s">
        <v>72</v>
      </c>
      <c r="C10" s="23" t="s">
        <v>73</v>
      </c>
      <c r="D10" s="24">
        <v>46220</v>
      </c>
      <c r="E10" s="25">
        <v>31200</v>
      </c>
      <c r="F10" s="26">
        <v>2</v>
      </c>
      <c r="G10" s="23" t="s">
        <v>74</v>
      </c>
    </row>
    <row r="11" spans="2:7" x14ac:dyDescent="0.55000000000000004">
      <c r="B11" s="23" t="s">
        <v>75</v>
      </c>
      <c r="C11" s="23" t="s">
        <v>76</v>
      </c>
      <c r="D11" s="24">
        <v>46227</v>
      </c>
      <c r="E11" s="25">
        <v>27400</v>
      </c>
      <c r="F11" s="26">
        <v>2</v>
      </c>
      <c r="G11" s="23" t="s">
        <v>74</v>
      </c>
    </row>
    <row r="12" spans="2:7" x14ac:dyDescent="0.55000000000000004">
      <c r="B12" s="23" t="s">
        <v>77</v>
      </c>
      <c r="C12" s="23" t="s">
        <v>78</v>
      </c>
      <c r="D12" s="24">
        <v>46230</v>
      </c>
      <c r="E12" s="25">
        <v>19850</v>
      </c>
      <c r="F12" s="26">
        <v>3</v>
      </c>
      <c r="G12" s="23" t="s">
        <v>79</v>
      </c>
    </row>
    <row r="13" spans="2:7" x14ac:dyDescent="0.55000000000000004">
      <c r="B13" s="23" t="s">
        <v>80</v>
      </c>
      <c r="C13" s="23" t="s">
        <v>81</v>
      </c>
      <c r="D13" s="24">
        <v>46234</v>
      </c>
      <c r="E13" s="25">
        <v>36900</v>
      </c>
      <c r="F13" s="26">
        <v>3</v>
      </c>
      <c r="G13" s="23" t="s">
        <v>74</v>
      </c>
    </row>
    <row r="14" spans="2:7" x14ac:dyDescent="0.55000000000000004">
      <c r="B14" s="23" t="s">
        <v>82</v>
      </c>
      <c r="C14" s="23" t="s">
        <v>83</v>
      </c>
      <c r="D14" s="24">
        <v>46237</v>
      </c>
      <c r="E14" s="25">
        <v>22300</v>
      </c>
      <c r="F14" s="26">
        <v>4</v>
      </c>
      <c r="G14" s="23" t="s">
        <v>74</v>
      </c>
    </row>
    <row r="15" spans="2:7" x14ac:dyDescent="0.55000000000000004">
      <c r="B15" s="23" t="s">
        <v>84</v>
      </c>
      <c r="C15" s="23" t="s">
        <v>85</v>
      </c>
      <c r="D15" s="24">
        <v>46238</v>
      </c>
      <c r="E15" s="25">
        <v>14600</v>
      </c>
      <c r="F15" s="26">
        <v>4</v>
      </c>
      <c r="G15" s="23" t="s">
        <v>74</v>
      </c>
    </row>
    <row r="16" spans="2:7" x14ac:dyDescent="0.55000000000000004">
      <c r="B16" s="23" t="s">
        <v>86</v>
      </c>
      <c r="C16" s="23" t="s">
        <v>87</v>
      </c>
      <c r="D16" s="24">
        <v>46157</v>
      </c>
      <c r="E16" s="25">
        <v>9750</v>
      </c>
      <c r="F16" s="26">
        <v>8</v>
      </c>
      <c r="G16" s="23" t="s">
        <v>88</v>
      </c>
    </row>
    <row r="17" spans="2:7" x14ac:dyDescent="0.55000000000000004">
      <c r="B17" s="27" t="s">
        <v>47</v>
      </c>
      <c r="E17" s="28">
        <f>SUM(E8:E16)</f>
        <v>273250</v>
      </c>
    </row>
    <row r="20" spans="2:7" ht="15.6" x14ac:dyDescent="0.6">
      <c r="B20" s="21" t="s">
        <v>89</v>
      </c>
    </row>
    <row r="21" spans="2:7" x14ac:dyDescent="0.55000000000000004">
      <c r="B21" s="2" t="s">
        <v>90</v>
      </c>
    </row>
    <row r="22" spans="2:7" x14ac:dyDescent="0.55000000000000004">
      <c r="B22" s="22" t="s">
        <v>91</v>
      </c>
      <c r="C22" s="22" t="s">
        <v>92</v>
      </c>
      <c r="D22" s="22" t="s">
        <v>93</v>
      </c>
      <c r="E22" s="22" t="s">
        <v>63</v>
      </c>
      <c r="F22" s="22" t="s">
        <v>94</v>
      </c>
      <c r="G22" s="22" t="s">
        <v>65</v>
      </c>
    </row>
    <row r="23" spans="2:7" x14ac:dyDescent="0.55000000000000004">
      <c r="B23" s="23" t="s">
        <v>95</v>
      </c>
      <c r="C23" s="23" t="s">
        <v>96</v>
      </c>
      <c r="D23" s="24">
        <v>46241</v>
      </c>
      <c r="E23" s="25">
        <v>47300</v>
      </c>
      <c r="F23" s="26">
        <v>1</v>
      </c>
      <c r="G23" s="23" t="s">
        <v>97</v>
      </c>
    </row>
    <row r="24" spans="2:7" x14ac:dyDescent="0.55000000000000004">
      <c r="B24" s="23" t="s">
        <v>98</v>
      </c>
      <c r="C24" s="23" t="s">
        <v>99</v>
      </c>
      <c r="D24" s="24">
        <v>46241</v>
      </c>
      <c r="E24" s="25">
        <v>38900</v>
      </c>
      <c r="F24" s="26">
        <v>1</v>
      </c>
      <c r="G24" s="23" t="s">
        <v>100</v>
      </c>
    </row>
    <row r="25" spans="2:7" x14ac:dyDescent="0.55000000000000004">
      <c r="B25" s="23" t="s">
        <v>101</v>
      </c>
      <c r="C25" s="23" t="s">
        <v>102</v>
      </c>
      <c r="D25" s="24">
        <v>46248</v>
      </c>
      <c r="E25" s="25">
        <v>12800</v>
      </c>
      <c r="F25" s="26">
        <v>2</v>
      </c>
      <c r="G25" s="23" t="s">
        <v>74</v>
      </c>
    </row>
    <row r="26" spans="2:7" x14ac:dyDescent="0.55000000000000004">
      <c r="B26" s="23" t="s">
        <v>103</v>
      </c>
      <c r="C26" s="23" t="s">
        <v>104</v>
      </c>
      <c r="D26" s="24">
        <v>46248</v>
      </c>
      <c r="E26" s="25">
        <v>6900</v>
      </c>
      <c r="F26" s="26">
        <v>2</v>
      </c>
      <c r="G26" s="23" t="s">
        <v>105</v>
      </c>
    </row>
    <row r="27" spans="2:7" x14ac:dyDescent="0.55000000000000004">
      <c r="B27" s="23" t="s">
        <v>106</v>
      </c>
      <c r="C27" s="23" t="s">
        <v>107</v>
      </c>
      <c r="D27" s="24">
        <v>46255</v>
      </c>
      <c r="E27" s="25">
        <v>18450</v>
      </c>
      <c r="F27" s="26">
        <v>3</v>
      </c>
      <c r="G27" s="23" t="s">
        <v>108</v>
      </c>
    </row>
    <row r="28" spans="2:7" x14ac:dyDescent="0.55000000000000004">
      <c r="B28" s="23" t="s">
        <v>109</v>
      </c>
      <c r="C28" s="23" t="s">
        <v>110</v>
      </c>
      <c r="D28" s="24">
        <v>46255</v>
      </c>
      <c r="E28" s="25">
        <v>5400</v>
      </c>
      <c r="F28" s="26">
        <v>3</v>
      </c>
      <c r="G28" s="23" t="s">
        <v>74</v>
      </c>
    </row>
    <row r="29" spans="2:7" x14ac:dyDescent="0.55000000000000004">
      <c r="B29" s="23" t="s">
        <v>111</v>
      </c>
      <c r="C29" s="23" t="s">
        <v>112</v>
      </c>
      <c r="D29" s="24">
        <v>46262</v>
      </c>
      <c r="E29" s="25">
        <v>8600</v>
      </c>
      <c r="F29" s="26">
        <v>4</v>
      </c>
      <c r="G29" s="23" t="s">
        <v>74</v>
      </c>
    </row>
    <row r="30" spans="2:7" x14ac:dyDescent="0.55000000000000004">
      <c r="B30" s="23" t="s">
        <v>113</v>
      </c>
      <c r="C30" s="23" t="s">
        <v>114</v>
      </c>
      <c r="D30" s="24">
        <v>46269</v>
      </c>
      <c r="E30" s="25">
        <v>3250</v>
      </c>
      <c r="F30" s="26">
        <v>5</v>
      </c>
      <c r="G30" s="23" t="s">
        <v>74</v>
      </c>
    </row>
    <row r="31" spans="2:7" x14ac:dyDescent="0.55000000000000004">
      <c r="B31" s="23" t="s">
        <v>115</v>
      </c>
      <c r="C31" s="23" t="s">
        <v>116</v>
      </c>
      <c r="D31" s="24">
        <v>46276</v>
      </c>
      <c r="E31" s="25">
        <v>21500</v>
      </c>
      <c r="F31" s="26">
        <v>6</v>
      </c>
      <c r="G31" s="23" t="s">
        <v>117</v>
      </c>
    </row>
    <row r="32" spans="2:7" x14ac:dyDescent="0.55000000000000004">
      <c r="B32" s="27" t="s">
        <v>47</v>
      </c>
      <c r="E32" s="28">
        <f>SUM(E23:E31)</f>
        <v>163100</v>
      </c>
    </row>
  </sheetData>
  <printOptions horizontalCentered="1"/>
  <pageMargins left="0.75" right="0.75" top="1" bottom="1" header="0.511811023622047" footer="0.511811023622047"/>
  <pageSetup fitToHeight="0" orientation="landscape"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2:P44"/>
  <sheetViews>
    <sheetView showGridLines="0" zoomScaleNormal="100" workbookViewId="0">
      <pane xSplit="2" ySplit="7" topLeftCell="C32" activePane="bottomRight" state="frozen"/>
      <selection pane="topRight" activeCell="C1" sqref="C1"/>
      <selection pane="bottomLeft" activeCell="A8" sqref="A8"/>
      <selection pane="bottomRight" activeCell="A5" sqref="A5:XFD5"/>
    </sheetView>
  </sheetViews>
  <sheetFormatPr defaultColWidth="8.68359375" defaultRowHeight="14.4" x14ac:dyDescent="0.55000000000000004"/>
  <cols>
    <col min="1" max="1" width="3" customWidth="1"/>
    <col min="2" max="2" width="38" customWidth="1"/>
    <col min="3" max="15" width="12" customWidth="1"/>
    <col min="16" max="16" width="14" customWidth="1"/>
  </cols>
  <sheetData>
    <row r="2" spans="2:16" ht="20.399999999999999" x14ac:dyDescent="0.75">
      <c r="B2" s="1" t="s">
        <v>0</v>
      </c>
    </row>
    <row r="3" spans="2:16" x14ac:dyDescent="0.55000000000000004">
      <c r="B3" s="2" t="s">
        <v>118</v>
      </c>
    </row>
    <row r="5" spans="2:16" x14ac:dyDescent="0.55000000000000004">
      <c r="B5" s="15" t="s">
        <v>46</v>
      </c>
      <c r="C5" s="16">
        <v>1</v>
      </c>
      <c r="D5" s="16">
        <v>2</v>
      </c>
      <c r="E5" s="16">
        <v>3</v>
      </c>
      <c r="F5" s="16">
        <v>4</v>
      </c>
      <c r="G5" s="16">
        <v>5</v>
      </c>
      <c r="H5" s="16">
        <v>6</v>
      </c>
      <c r="I5" s="16">
        <v>7</v>
      </c>
      <c r="J5" s="16">
        <v>8</v>
      </c>
      <c r="K5" s="16">
        <v>9</v>
      </c>
      <c r="L5" s="16">
        <v>10</v>
      </c>
      <c r="M5" s="16">
        <v>11</v>
      </c>
      <c r="N5" s="16">
        <v>12</v>
      </c>
      <c r="O5" s="16">
        <v>13</v>
      </c>
      <c r="P5" s="22" t="s">
        <v>119</v>
      </c>
    </row>
    <row r="6" spans="2:16" x14ac:dyDescent="0.55000000000000004">
      <c r="B6" s="15" t="s">
        <v>120</v>
      </c>
      <c r="C6" s="29">
        <f>Assumptions!$C$6</f>
        <v>46241</v>
      </c>
      <c r="D6" s="29">
        <f t="shared" ref="D6:O6" si="0">C6+7</f>
        <v>46248</v>
      </c>
      <c r="E6" s="29">
        <f t="shared" si="0"/>
        <v>46255</v>
      </c>
      <c r="F6" s="29">
        <f t="shared" si="0"/>
        <v>46262</v>
      </c>
      <c r="G6" s="29">
        <f t="shared" si="0"/>
        <v>46269</v>
      </c>
      <c r="H6" s="29">
        <f t="shared" si="0"/>
        <v>46276</v>
      </c>
      <c r="I6" s="29">
        <f t="shared" si="0"/>
        <v>46283</v>
      </c>
      <c r="J6" s="29">
        <f t="shared" si="0"/>
        <v>46290</v>
      </c>
      <c r="K6" s="29">
        <f t="shared" si="0"/>
        <v>46297</v>
      </c>
      <c r="L6" s="29">
        <f t="shared" si="0"/>
        <v>46304</v>
      </c>
      <c r="M6" s="29">
        <f t="shared" si="0"/>
        <v>46311</v>
      </c>
      <c r="N6" s="29">
        <f t="shared" si="0"/>
        <v>46318</v>
      </c>
      <c r="O6" s="29">
        <f t="shared" si="0"/>
        <v>46325</v>
      </c>
    </row>
    <row r="7" spans="2:16" x14ac:dyDescent="0.55000000000000004">
      <c r="B7" s="15" t="s">
        <v>121</v>
      </c>
      <c r="C7" s="30" t="str">
        <f>IF(C$5&lt;=Assumptions!$C$7,"ACTUAL","Forecast")</f>
        <v>Forecast</v>
      </c>
      <c r="D7" s="30" t="str">
        <f>IF(D$5&lt;=Assumptions!$C$7,"ACTUAL","Forecast")</f>
        <v>Forecast</v>
      </c>
      <c r="E7" s="30" t="str">
        <f>IF(E$5&lt;=Assumptions!$C$7,"ACTUAL","Forecast")</f>
        <v>Forecast</v>
      </c>
      <c r="F7" s="30" t="str">
        <f>IF(F$5&lt;=Assumptions!$C$7,"ACTUAL","Forecast")</f>
        <v>Forecast</v>
      </c>
      <c r="G7" s="30" t="str">
        <f>IF(G$5&lt;=Assumptions!$C$7,"ACTUAL","Forecast")</f>
        <v>Forecast</v>
      </c>
      <c r="H7" s="30" t="str">
        <f>IF(H$5&lt;=Assumptions!$C$7,"ACTUAL","Forecast")</f>
        <v>Forecast</v>
      </c>
      <c r="I7" s="30" t="str">
        <f>IF(I$5&lt;=Assumptions!$C$7,"ACTUAL","Forecast")</f>
        <v>Forecast</v>
      </c>
      <c r="J7" s="30" t="str">
        <f>IF(J$5&lt;=Assumptions!$C$7,"ACTUAL","Forecast")</f>
        <v>Forecast</v>
      </c>
      <c r="K7" s="30" t="str">
        <f>IF(K$5&lt;=Assumptions!$C$7,"ACTUAL","Forecast")</f>
        <v>Forecast</v>
      </c>
      <c r="L7" s="30" t="str">
        <f>IF(L$5&lt;=Assumptions!$C$7,"ACTUAL","Forecast")</f>
        <v>Forecast</v>
      </c>
      <c r="M7" s="30" t="str">
        <f>IF(M$5&lt;=Assumptions!$C$7,"ACTUAL","Forecast")</f>
        <v>Forecast</v>
      </c>
      <c r="N7" s="30" t="str">
        <f>IF(N$5&lt;=Assumptions!$C$7,"ACTUAL","Forecast")</f>
        <v>Forecast</v>
      </c>
      <c r="O7" s="30" t="str">
        <f>IF(O$5&lt;=Assumptions!$C$7,"ACTUAL","Forecast")</f>
        <v>Forecast</v>
      </c>
    </row>
    <row r="9" spans="2:16" x14ac:dyDescent="0.55000000000000004">
      <c r="B9" s="31" t="s">
        <v>122</v>
      </c>
      <c r="C9" s="28">
        <f>Assumptions!$C$8</f>
        <v>118000</v>
      </c>
      <c r="D9" s="28">
        <f t="shared" ref="D9:O9" si="1">C35</f>
        <v>113450</v>
      </c>
      <c r="E9" s="28">
        <f t="shared" si="1"/>
        <v>176550</v>
      </c>
      <c r="F9" s="28">
        <f t="shared" si="1"/>
        <v>217170</v>
      </c>
      <c r="G9" s="28">
        <f t="shared" si="1"/>
        <v>263070</v>
      </c>
      <c r="H9" s="28">
        <f t="shared" si="1"/>
        <v>207220</v>
      </c>
      <c r="I9" s="28">
        <f t="shared" si="1"/>
        <v>140520</v>
      </c>
      <c r="J9" s="28">
        <f t="shared" si="1"/>
        <v>140320</v>
      </c>
      <c r="K9" s="28">
        <f t="shared" si="1"/>
        <v>169870</v>
      </c>
      <c r="L9" s="28">
        <f t="shared" si="1"/>
        <v>111270</v>
      </c>
      <c r="M9" s="28">
        <f t="shared" si="1"/>
        <v>131070</v>
      </c>
      <c r="N9" s="28">
        <f t="shared" si="1"/>
        <v>130870</v>
      </c>
      <c r="O9" s="28">
        <f t="shared" si="1"/>
        <v>150670</v>
      </c>
      <c r="P9" s="28">
        <f>C9</f>
        <v>118000</v>
      </c>
    </row>
    <row r="11" spans="2:16" x14ac:dyDescent="0.55000000000000004">
      <c r="B11" s="6" t="s">
        <v>123</v>
      </c>
      <c r="C11" s="4"/>
      <c r="D11" s="4"/>
      <c r="E11" s="4"/>
      <c r="F11" s="4"/>
      <c r="G11" s="4"/>
      <c r="H11" s="4"/>
      <c r="I11" s="4"/>
      <c r="J11" s="4"/>
      <c r="K11" s="4"/>
      <c r="L11" s="4"/>
      <c r="M11" s="4"/>
      <c r="N11" s="4"/>
      <c r="O11" s="4"/>
      <c r="P11" s="4"/>
    </row>
    <row r="12" spans="2:16" x14ac:dyDescent="0.55000000000000004">
      <c r="B12" s="7" t="s">
        <v>124</v>
      </c>
      <c r="C12" s="32">
        <f>SUMIF('AR &amp; AP Detail'!$F$8:$F$16,C$5,'AR &amp; AP Detail'!$E$8:$E$16)</f>
        <v>111250</v>
      </c>
      <c r="D12" s="32">
        <f>SUMIF('AR &amp; AP Detail'!$F$8:$F$16,D$5,'AR &amp; AP Detail'!$E$8:$E$16)</f>
        <v>58600</v>
      </c>
      <c r="E12" s="32">
        <f>SUMIF('AR &amp; AP Detail'!$F$8:$F$16,E$5,'AR &amp; AP Detail'!$E$8:$E$16)</f>
        <v>56750</v>
      </c>
      <c r="F12" s="32">
        <f>SUMIF('AR &amp; AP Detail'!$F$8:$F$16,F$5,'AR &amp; AP Detail'!$E$8:$E$16)</f>
        <v>36900</v>
      </c>
      <c r="G12" s="32">
        <f>SUMIF('AR &amp; AP Detail'!$F$8:$F$16,G$5,'AR &amp; AP Detail'!$E$8:$E$16)</f>
        <v>0</v>
      </c>
      <c r="H12" s="32">
        <f>SUMIF('AR &amp; AP Detail'!$F$8:$F$16,H$5,'AR &amp; AP Detail'!$E$8:$E$16)</f>
        <v>0</v>
      </c>
      <c r="I12" s="32">
        <f>SUMIF('AR &amp; AP Detail'!$F$8:$F$16,I$5,'AR &amp; AP Detail'!$E$8:$E$16)</f>
        <v>0</v>
      </c>
      <c r="J12" s="32">
        <f>SUMIF('AR &amp; AP Detail'!$F$8:$F$16,J$5,'AR &amp; AP Detail'!$E$8:$E$16)</f>
        <v>9750</v>
      </c>
      <c r="K12" s="32">
        <f>SUMIF('AR &amp; AP Detail'!$F$8:$F$16,K$5,'AR &amp; AP Detail'!$E$8:$E$16)</f>
        <v>0</v>
      </c>
      <c r="L12" s="32">
        <f>SUMIF('AR &amp; AP Detail'!$F$8:$F$16,L$5,'AR &amp; AP Detail'!$E$8:$E$16)</f>
        <v>0</v>
      </c>
      <c r="M12" s="32">
        <f>SUMIF('AR &amp; AP Detail'!$F$8:$F$16,M$5,'AR &amp; AP Detail'!$E$8:$E$16)</f>
        <v>0</v>
      </c>
      <c r="N12" s="32">
        <f>SUMIF('AR &amp; AP Detail'!$F$8:$F$16,N$5,'AR &amp; AP Detail'!$E$8:$E$16)</f>
        <v>0</v>
      </c>
      <c r="O12" s="32">
        <f>SUMIF('AR &amp; AP Detail'!$F$8:$F$16,O$5,'AR &amp; AP Detail'!$E$8:$E$16)</f>
        <v>0</v>
      </c>
      <c r="P12" s="19">
        <f>SUM(C12:O12)</f>
        <v>273250</v>
      </c>
    </row>
    <row r="13" spans="2:16" x14ac:dyDescent="0.55000000000000004">
      <c r="B13" s="7" t="s">
        <v>125</v>
      </c>
      <c r="C13" s="32">
        <f>Assumptions!C$50*Assumptions!$C$15</f>
        <v>8800</v>
      </c>
      <c r="D13" s="32">
        <f>Assumptions!D$50*Assumptions!$C$15+Assumptions!C$50*Assumptions!$C$16</f>
        <v>24200</v>
      </c>
      <c r="E13" s="32">
        <f>Assumptions!E$50*Assumptions!$C$15+Assumptions!D$50*Assumptions!$C$16+Assumptions!C$50*Assumptions!$C$17</f>
        <v>35200</v>
      </c>
      <c r="F13" s="32">
        <f>Assumptions!F$50*Assumptions!$C$15+Assumptions!E$50*Assumptions!$C$16+Assumptions!D$50*Assumptions!$C$17+Assumptions!C$50*Assumptions!$C$18</f>
        <v>41800</v>
      </c>
      <c r="G13" s="32">
        <f>Assumptions!G$50*Assumptions!$C$15+Assumptions!F$50*Assumptions!$C$16+Assumptions!E$50*Assumptions!$C$17+Assumptions!D$50*Assumptions!$C$18+Assumptions!C$50*Assumptions!$C$19</f>
        <v>44000</v>
      </c>
      <c r="H13" s="32">
        <f>Assumptions!H$50*Assumptions!$C$15+Assumptions!G$50*Assumptions!$C$16+Assumptions!F$50*Assumptions!$C$17+Assumptions!E$50*Assumptions!$C$18+Assumptions!D$50*Assumptions!$C$19</f>
        <v>44000</v>
      </c>
      <c r="I13" s="32">
        <f>Assumptions!I$50*Assumptions!$C$15+Assumptions!H$50*Assumptions!$C$16+Assumptions!G$50*Assumptions!$C$17+Assumptions!F$50*Assumptions!$C$18+Assumptions!E$50*Assumptions!$C$19</f>
        <v>44000</v>
      </c>
      <c r="J13" s="32">
        <f>Assumptions!J$50*Assumptions!$C$15+Assumptions!I$50*Assumptions!$C$16+Assumptions!H$50*Assumptions!$C$17+Assumptions!G$50*Assumptions!$C$18+Assumptions!F$50*Assumptions!$C$19</f>
        <v>44000</v>
      </c>
      <c r="K13" s="32">
        <f>Assumptions!K$50*Assumptions!$C$15+Assumptions!J$50*Assumptions!$C$16+Assumptions!I$50*Assumptions!$C$17+Assumptions!H$50*Assumptions!$C$18+Assumptions!G$50*Assumptions!$C$19</f>
        <v>44000</v>
      </c>
      <c r="L13" s="32">
        <f>Assumptions!L$50*Assumptions!$C$15+Assumptions!K$50*Assumptions!$C$16+Assumptions!J$50*Assumptions!$C$17+Assumptions!I$50*Assumptions!$C$18+Assumptions!H$50*Assumptions!$C$19</f>
        <v>44000</v>
      </c>
      <c r="M13" s="32">
        <f>Assumptions!M$50*Assumptions!$C$15+Assumptions!L$50*Assumptions!$C$16+Assumptions!K$50*Assumptions!$C$17+Assumptions!J$50*Assumptions!$C$18+Assumptions!I$50*Assumptions!$C$19</f>
        <v>44000</v>
      </c>
      <c r="N13" s="32">
        <f>Assumptions!N$50*Assumptions!$C$15+Assumptions!M$50*Assumptions!$C$16+Assumptions!L$50*Assumptions!$C$17+Assumptions!K$50*Assumptions!$C$18+Assumptions!J$50*Assumptions!$C$19</f>
        <v>44000</v>
      </c>
      <c r="O13" s="32">
        <f>Assumptions!O$50*Assumptions!$C$15+Assumptions!N$50*Assumptions!$C$16+Assumptions!M$50*Assumptions!$C$17+Assumptions!L$50*Assumptions!$C$18+Assumptions!K$50*Assumptions!$C$19</f>
        <v>44000</v>
      </c>
      <c r="P13" s="19">
        <f>SUM(C13:O13)</f>
        <v>506000</v>
      </c>
    </row>
    <row r="14" spans="2:16" x14ac:dyDescent="0.55000000000000004">
      <c r="B14" s="7" t="s">
        <v>126</v>
      </c>
      <c r="C14" s="32">
        <f>Assumptions!$C$23+Assumptions!C48</f>
        <v>0</v>
      </c>
      <c r="D14" s="32">
        <f>Assumptions!$C$23+Assumptions!D48</f>
        <v>0</v>
      </c>
      <c r="E14" s="32">
        <f>Assumptions!$C$23+Assumptions!E48</f>
        <v>0</v>
      </c>
      <c r="F14" s="32">
        <f>Assumptions!$C$23+Assumptions!F48</f>
        <v>0</v>
      </c>
      <c r="G14" s="32">
        <f>Assumptions!$C$23+Assumptions!G48</f>
        <v>0</v>
      </c>
      <c r="H14" s="32">
        <f>Assumptions!$C$23+Assumptions!H48</f>
        <v>0</v>
      </c>
      <c r="I14" s="32">
        <f>Assumptions!$C$23+Assumptions!I48</f>
        <v>0</v>
      </c>
      <c r="J14" s="32">
        <f>Assumptions!$C$23+Assumptions!J48</f>
        <v>0</v>
      </c>
      <c r="K14" s="32">
        <f>Assumptions!$C$23+Assumptions!K48</f>
        <v>0</v>
      </c>
      <c r="L14" s="32">
        <f>Assumptions!$C$23+Assumptions!L48</f>
        <v>0</v>
      </c>
      <c r="M14" s="32">
        <f>Assumptions!$C$23+Assumptions!M48</f>
        <v>0</v>
      </c>
      <c r="N14" s="32">
        <f>Assumptions!$C$23+Assumptions!N48</f>
        <v>0</v>
      </c>
      <c r="O14" s="32">
        <f>Assumptions!$C$23+Assumptions!O48</f>
        <v>0</v>
      </c>
      <c r="P14" s="19">
        <f>SUM(C14:O14)</f>
        <v>0</v>
      </c>
    </row>
    <row r="15" spans="2:16" x14ac:dyDescent="0.55000000000000004">
      <c r="B15" s="7" t="s">
        <v>51</v>
      </c>
      <c r="C15" s="32">
        <f>Assumptions!C46</f>
        <v>0</v>
      </c>
      <c r="D15" s="32">
        <f>Assumptions!D46</f>
        <v>0</v>
      </c>
      <c r="E15" s="32">
        <f>Assumptions!E46</f>
        <v>0</v>
      </c>
      <c r="F15" s="32">
        <f>Assumptions!F46</f>
        <v>0</v>
      </c>
      <c r="G15" s="32">
        <f>Assumptions!G46</f>
        <v>0</v>
      </c>
      <c r="H15" s="32">
        <f>Assumptions!H46</f>
        <v>0</v>
      </c>
      <c r="I15" s="32">
        <f>Assumptions!I46</f>
        <v>0</v>
      </c>
      <c r="J15" s="32">
        <f>Assumptions!J46</f>
        <v>0</v>
      </c>
      <c r="K15" s="32">
        <f>Assumptions!K46</f>
        <v>0</v>
      </c>
      <c r="L15" s="32">
        <f>Assumptions!L46</f>
        <v>0</v>
      </c>
      <c r="M15" s="32">
        <f>Assumptions!M46</f>
        <v>0</v>
      </c>
      <c r="N15" s="32">
        <f>Assumptions!N46</f>
        <v>0</v>
      </c>
      <c r="O15" s="32">
        <f>Assumptions!O46</f>
        <v>0</v>
      </c>
      <c r="P15" s="19">
        <f>SUM(C15:O15)</f>
        <v>0</v>
      </c>
    </row>
    <row r="16" spans="2:16" x14ac:dyDescent="0.55000000000000004">
      <c r="B16" s="31" t="s">
        <v>127</v>
      </c>
      <c r="C16" s="28">
        <f t="shared" ref="C16:O16" si="2">SUM(C12:C15)</f>
        <v>120050</v>
      </c>
      <c r="D16" s="28">
        <f t="shared" si="2"/>
        <v>82800</v>
      </c>
      <c r="E16" s="28">
        <f t="shared" si="2"/>
        <v>91950</v>
      </c>
      <c r="F16" s="28">
        <f t="shared" si="2"/>
        <v>78700</v>
      </c>
      <c r="G16" s="28">
        <f t="shared" si="2"/>
        <v>44000</v>
      </c>
      <c r="H16" s="28">
        <f t="shared" si="2"/>
        <v>44000</v>
      </c>
      <c r="I16" s="28">
        <f t="shared" si="2"/>
        <v>44000</v>
      </c>
      <c r="J16" s="28">
        <f t="shared" si="2"/>
        <v>53750</v>
      </c>
      <c r="K16" s="28">
        <f t="shared" si="2"/>
        <v>44000</v>
      </c>
      <c r="L16" s="28">
        <f t="shared" si="2"/>
        <v>44000</v>
      </c>
      <c r="M16" s="28">
        <f t="shared" si="2"/>
        <v>44000</v>
      </c>
      <c r="N16" s="28">
        <f t="shared" si="2"/>
        <v>44000</v>
      </c>
      <c r="O16" s="28">
        <f t="shared" si="2"/>
        <v>44000</v>
      </c>
      <c r="P16" s="28">
        <f>SUM(C16:O16)</f>
        <v>779250</v>
      </c>
    </row>
    <row r="18" spans="2:16" x14ac:dyDescent="0.55000000000000004">
      <c r="B18" s="6" t="s">
        <v>128</v>
      </c>
      <c r="C18" s="4"/>
      <c r="D18" s="4"/>
      <c r="E18" s="4"/>
      <c r="F18" s="4"/>
      <c r="G18" s="4"/>
      <c r="H18" s="4"/>
      <c r="I18" s="4"/>
      <c r="J18" s="4"/>
      <c r="K18" s="4"/>
      <c r="L18" s="4"/>
      <c r="M18" s="4"/>
      <c r="N18" s="4"/>
      <c r="O18" s="4"/>
      <c r="P18" s="4"/>
    </row>
    <row r="19" spans="2:16" x14ac:dyDescent="0.55000000000000004">
      <c r="B19" s="7" t="s">
        <v>129</v>
      </c>
      <c r="C19" s="32">
        <f>SUMIF('AR &amp; AP Detail'!$F$23:$F$31,C$5,'AR &amp; AP Detail'!$E$23:$E$31)</f>
        <v>86200</v>
      </c>
      <c r="D19" s="32">
        <f>SUMIF('AR &amp; AP Detail'!$F$23:$F$31,D$5,'AR &amp; AP Detail'!$E$23:$E$31)</f>
        <v>19700</v>
      </c>
      <c r="E19" s="32">
        <f>SUMIF('AR &amp; AP Detail'!$F$23:$F$31,E$5,'AR &amp; AP Detail'!$E$23:$E$31)</f>
        <v>23850</v>
      </c>
      <c r="F19" s="32">
        <f>SUMIF('AR &amp; AP Detail'!$F$23:$F$31,F$5,'AR &amp; AP Detail'!$E$23:$E$31)</f>
        <v>8600</v>
      </c>
      <c r="G19" s="32">
        <f>SUMIF('AR &amp; AP Detail'!$F$23:$F$31,G$5,'AR &amp; AP Detail'!$E$23:$E$31)</f>
        <v>3250</v>
      </c>
      <c r="H19" s="32">
        <f>SUMIF('AR &amp; AP Detail'!$F$23:$F$31,H$5,'AR &amp; AP Detail'!$E$23:$E$31)</f>
        <v>21500</v>
      </c>
      <c r="I19" s="32">
        <f>SUMIF('AR &amp; AP Detail'!$F$23:$F$31,I$5,'AR &amp; AP Detail'!$E$23:$E$31)</f>
        <v>0</v>
      </c>
      <c r="J19" s="32">
        <f>SUMIF('AR &amp; AP Detail'!$F$23:$F$31,J$5,'AR &amp; AP Detail'!$E$23:$E$31)</f>
        <v>0</v>
      </c>
      <c r="K19" s="32">
        <f>SUMIF('AR &amp; AP Detail'!$F$23:$F$31,K$5,'AR &amp; AP Detail'!$E$23:$E$31)</f>
        <v>0</v>
      </c>
      <c r="L19" s="32">
        <f>SUMIF('AR &amp; AP Detail'!$F$23:$F$31,L$5,'AR &amp; AP Detail'!$E$23:$E$31)</f>
        <v>0</v>
      </c>
      <c r="M19" s="32">
        <f>SUMIF('AR &amp; AP Detail'!$F$23:$F$31,M$5,'AR &amp; AP Detail'!$E$23:$E$31)</f>
        <v>0</v>
      </c>
      <c r="N19" s="32">
        <f>SUMIF('AR &amp; AP Detail'!$F$23:$F$31,N$5,'AR &amp; AP Detail'!$E$23:$E$31)</f>
        <v>0</v>
      </c>
      <c r="O19" s="32">
        <f>SUMIF('AR &amp; AP Detail'!$F$23:$F$31,O$5,'AR &amp; AP Detail'!$E$23:$E$31)</f>
        <v>0</v>
      </c>
      <c r="P19" s="19">
        <f t="shared" ref="P19:P32" si="3">SUM(C19:O19)</f>
        <v>163100</v>
      </c>
    </row>
    <row r="20" spans="2:16" x14ac:dyDescent="0.55000000000000004">
      <c r="B20" s="7" t="s">
        <v>130</v>
      </c>
      <c r="C20" s="32">
        <f>IF(C$5-Assumptions!$C$27&lt;1,0,INDEX(Assumptions!$C$50:$O$50,C$5-Assumptions!$C$27)*Assumptions!$C$26)</f>
        <v>0</v>
      </c>
      <c r="D20" s="32">
        <f>IF(D$5-Assumptions!$C$27&lt;1,0,INDEX(Assumptions!$C$50:$O$50,D$5-Assumptions!$C$27)*Assumptions!$C$26)</f>
        <v>0</v>
      </c>
      <c r="E20" s="32">
        <f>IF(E$5-Assumptions!$C$27&lt;1,0,INDEX(Assumptions!$C$50:$O$50,E$5-Assumptions!$C$27)*Assumptions!$C$26)</f>
        <v>0</v>
      </c>
      <c r="F20" s="32">
        <f>IF(F$5-Assumptions!$C$27&lt;1,0,INDEX(Assumptions!$C$50:$O$50,F$5-Assumptions!$C$27)*Assumptions!$C$26)</f>
        <v>16720</v>
      </c>
      <c r="G20" s="32">
        <f>IF(G$5-Assumptions!$C$27&lt;1,0,INDEX(Assumptions!$C$50:$O$50,G$5-Assumptions!$C$27)*Assumptions!$C$26)</f>
        <v>16720</v>
      </c>
      <c r="H20" s="32">
        <f>IF(H$5-Assumptions!$C$27&lt;1,0,INDEX(Assumptions!$C$50:$O$50,H$5-Assumptions!$C$27)*Assumptions!$C$26)</f>
        <v>16720</v>
      </c>
      <c r="I20" s="32">
        <f>IF(I$5-Assumptions!$C$27&lt;1,0,INDEX(Assumptions!$C$50:$O$50,I$5-Assumptions!$C$27)*Assumptions!$C$26)</f>
        <v>16720</v>
      </c>
      <c r="J20" s="32">
        <f>IF(J$5-Assumptions!$C$27&lt;1,0,INDEX(Assumptions!$C$50:$O$50,J$5-Assumptions!$C$27)*Assumptions!$C$26)</f>
        <v>16720</v>
      </c>
      <c r="K20" s="32">
        <f>IF(K$5-Assumptions!$C$27&lt;1,0,INDEX(Assumptions!$C$50:$O$50,K$5-Assumptions!$C$27)*Assumptions!$C$26)</f>
        <v>16720</v>
      </c>
      <c r="L20" s="32">
        <f>IF(L$5-Assumptions!$C$27&lt;1,0,INDEX(Assumptions!$C$50:$O$50,L$5-Assumptions!$C$27)*Assumptions!$C$26)</f>
        <v>16720</v>
      </c>
      <c r="M20" s="32">
        <f>IF(M$5-Assumptions!$C$27&lt;1,0,INDEX(Assumptions!$C$50:$O$50,M$5-Assumptions!$C$27)*Assumptions!$C$26)</f>
        <v>16720</v>
      </c>
      <c r="N20" s="32">
        <f>IF(N$5-Assumptions!$C$27&lt;1,0,INDEX(Assumptions!$C$50:$O$50,N$5-Assumptions!$C$27)*Assumptions!$C$26)</f>
        <v>16720</v>
      </c>
      <c r="O20" s="32">
        <f>IF(O$5-Assumptions!$C$27&lt;1,0,INDEX(Assumptions!$C$50:$O$50,O$5-Assumptions!$C$27)*Assumptions!$C$26)</f>
        <v>16720</v>
      </c>
      <c r="P20" s="19">
        <f t="shared" si="3"/>
        <v>167200</v>
      </c>
    </row>
    <row r="21" spans="2:16" x14ac:dyDescent="0.55000000000000004">
      <c r="B21" s="7" t="s">
        <v>131</v>
      </c>
      <c r="C21" s="32">
        <f>IF(C$5-Assumptions!$C$29&lt;1,0,INDEX(Assumptions!$C$50:$O$50,C$5-Assumptions!$C$29)*Assumptions!$C$28)</f>
        <v>0</v>
      </c>
      <c r="D21" s="32">
        <f>IF(D$5-Assumptions!$C$29&lt;1,0,INDEX(Assumptions!$C$50:$O$50,D$5-Assumptions!$C$29)*Assumptions!$C$28)</f>
        <v>0</v>
      </c>
      <c r="E21" s="32">
        <f>IF(E$5-Assumptions!$C$29&lt;1,0,INDEX(Assumptions!$C$50:$O$50,E$5-Assumptions!$C$29)*Assumptions!$C$28)</f>
        <v>7480.0000000000009</v>
      </c>
      <c r="F21" s="32">
        <f>IF(F$5-Assumptions!$C$29&lt;1,0,INDEX(Assumptions!$C$50:$O$50,F$5-Assumptions!$C$29)*Assumptions!$C$28)</f>
        <v>7480.0000000000009</v>
      </c>
      <c r="G21" s="32">
        <f>IF(G$5-Assumptions!$C$29&lt;1,0,INDEX(Assumptions!$C$50:$O$50,G$5-Assumptions!$C$29)*Assumptions!$C$28)</f>
        <v>7480.0000000000009</v>
      </c>
      <c r="H21" s="32">
        <f>IF(H$5-Assumptions!$C$29&lt;1,0,INDEX(Assumptions!$C$50:$O$50,H$5-Assumptions!$C$29)*Assumptions!$C$28)</f>
        <v>7480.0000000000009</v>
      </c>
      <c r="I21" s="32">
        <f>IF(I$5-Assumptions!$C$29&lt;1,0,INDEX(Assumptions!$C$50:$O$50,I$5-Assumptions!$C$29)*Assumptions!$C$28)</f>
        <v>7480.0000000000009</v>
      </c>
      <c r="J21" s="32">
        <f>IF(J$5-Assumptions!$C$29&lt;1,0,INDEX(Assumptions!$C$50:$O$50,J$5-Assumptions!$C$29)*Assumptions!$C$28)</f>
        <v>7480.0000000000009</v>
      </c>
      <c r="K21" s="32">
        <f>IF(K$5-Assumptions!$C$29&lt;1,0,INDEX(Assumptions!$C$50:$O$50,K$5-Assumptions!$C$29)*Assumptions!$C$28)</f>
        <v>7480.0000000000009</v>
      </c>
      <c r="L21" s="32">
        <f>IF(L$5-Assumptions!$C$29&lt;1,0,INDEX(Assumptions!$C$50:$O$50,L$5-Assumptions!$C$29)*Assumptions!$C$28)</f>
        <v>7480.0000000000009</v>
      </c>
      <c r="M21" s="32">
        <f>IF(M$5-Assumptions!$C$29&lt;1,0,INDEX(Assumptions!$C$50:$O$50,M$5-Assumptions!$C$29)*Assumptions!$C$28)</f>
        <v>7480.0000000000009</v>
      </c>
      <c r="N21" s="32">
        <f>IF(N$5-Assumptions!$C$29&lt;1,0,INDEX(Assumptions!$C$50:$O$50,N$5-Assumptions!$C$29)*Assumptions!$C$28)</f>
        <v>7480.0000000000009</v>
      </c>
      <c r="O21" s="32">
        <f>IF(O$5-Assumptions!$C$29&lt;1,0,INDEX(Assumptions!$C$50:$O$50,O$5-Assumptions!$C$29)*Assumptions!$C$28)</f>
        <v>7480.0000000000009</v>
      </c>
      <c r="P21" s="19">
        <f t="shared" si="3"/>
        <v>82280.000000000015</v>
      </c>
    </row>
    <row r="22" spans="2:16" x14ac:dyDescent="0.55000000000000004">
      <c r="B22" s="7" t="s">
        <v>132</v>
      </c>
      <c r="C22" s="32">
        <f>IF(MOD(C$5-Assumptions!$C$32,MAX(Assumptions!$C$31,1))=0,Assumptions!$C$30,0)</f>
        <v>20000</v>
      </c>
      <c r="D22" s="32">
        <f>IF(MOD(D$5-Assumptions!$C$32,MAX(Assumptions!$C$31,1))=0,Assumptions!$C$30,0)</f>
        <v>0</v>
      </c>
      <c r="E22" s="32">
        <f>IF(MOD(E$5-Assumptions!$C$32,MAX(Assumptions!$C$31,1))=0,Assumptions!$C$30,0)</f>
        <v>20000</v>
      </c>
      <c r="F22" s="32">
        <f>IF(MOD(F$5-Assumptions!$C$32,MAX(Assumptions!$C$31,1))=0,Assumptions!$C$30,0)</f>
        <v>0</v>
      </c>
      <c r="G22" s="32">
        <f>IF(MOD(G$5-Assumptions!$C$32,MAX(Assumptions!$C$31,1))=0,Assumptions!$C$30,0)</f>
        <v>20000</v>
      </c>
      <c r="H22" s="32">
        <f>IF(MOD(H$5-Assumptions!$C$32,MAX(Assumptions!$C$31,1))=0,Assumptions!$C$30,0)</f>
        <v>0</v>
      </c>
      <c r="I22" s="32">
        <f>IF(MOD(I$5-Assumptions!$C$32,MAX(Assumptions!$C$31,1))=0,Assumptions!$C$30,0)</f>
        <v>20000</v>
      </c>
      <c r="J22" s="32">
        <f>IF(MOD(J$5-Assumptions!$C$32,MAX(Assumptions!$C$31,1))=0,Assumptions!$C$30,0)</f>
        <v>0</v>
      </c>
      <c r="K22" s="32">
        <f>IF(MOD(K$5-Assumptions!$C$32,MAX(Assumptions!$C$31,1))=0,Assumptions!$C$30,0)</f>
        <v>20000</v>
      </c>
      <c r="L22" s="32">
        <f>IF(MOD(L$5-Assumptions!$C$32,MAX(Assumptions!$C$31,1))=0,Assumptions!$C$30,0)</f>
        <v>0</v>
      </c>
      <c r="M22" s="32">
        <f>IF(MOD(M$5-Assumptions!$C$32,MAX(Assumptions!$C$31,1))=0,Assumptions!$C$30,0)</f>
        <v>20000</v>
      </c>
      <c r="N22" s="32">
        <f>IF(MOD(N$5-Assumptions!$C$32,MAX(Assumptions!$C$31,1))=0,Assumptions!$C$30,0)</f>
        <v>0</v>
      </c>
      <c r="O22" s="32">
        <f>IF(MOD(O$5-Assumptions!$C$32,MAX(Assumptions!$C$31,1))=0,Assumptions!$C$30,0)</f>
        <v>20000</v>
      </c>
      <c r="P22" s="19">
        <f t="shared" si="3"/>
        <v>140000</v>
      </c>
    </row>
    <row r="23" spans="2:16" x14ac:dyDescent="0.55000000000000004">
      <c r="B23" s="7" t="s">
        <v>40</v>
      </c>
      <c r="C23" s="32">
        <f>IF(MONTH(C$6)&lt;&gt;MONTH(C$6-7),Assumptions!$C$36,0)</f>
        <v>6500</v>
      </c>
      <c r="D23" s="32">
        <f>IF(MONTH(D$6)&lt;&gt;MONTH(D$6-7),Assumptions!$C$36,0)</f>
        <v>0</v>
      </c>
      <c r="E23" s="32">
        <f>IF(MONTH(E$6)&lt;&gt;MONTH(E$6-7),Assumptions!$C$36,0)</f>
        <v>0</v>
      </c>
      <c r="F23" s="32">
        <f>IF(MONTH(F$6)&lt;&gt;MONTH(F$6-7),Assumptions!$C$36,0)</f>
        <v>0</v>
      </c>
      <c r="G23" s="32">
        <f>IF(MONTH(G$6)&lt;&gt;MONTH(G$6-7),Assumptions!$C$36,0)</f>
        <v>6500</v>
      </c>
      <c r="H23" s="32">
        <f>IF(MONTH(H$6)&lt;&gt;MONTH(H$6-7),Assumptions!$C$36,0)</f>
        <v>0</v>
      </c>
      <c r="I23" s="32">
        <f>IF(MONTH(I$6)&lt;&gt;MONTH(I$6-7),Assumptions!$C$36,0)</f>
        <v>0</v>
      </c>
      <c r="J23" s="32">
        <f>IF(MONTH(J$6)&lt;&gt;MONTH(J$6-7),Assumptions!$C$36,0)</f>
        <v>0</v>
      </c>
      <c r="K23" s="32">
        <f>IF(MONTH(K$6)&lt;&gt;MONTH(K$6-7),Assumptions!$C$36,0)</f>
        <v>6500</v>
      </c>
      <c r="L23" s="32">
        <f>IF(MONTH(L$6)&lt;&gt;MONTH(L$6-7),Assumptions!$C$36,0)</f>
        <v>0</v>
      </c>
      <c r="M23" s="32">
        <f>IF(MONTH(M$6)&lt;&gt;MONTH(M$6-7),Assumptions!$C$36,0)</f>
        <v>0</v>
      </c>
      <c r="N23" s="32">
        <f>IF(MONTH(N$6)&lt;&gt;MONTH(N$6-7),Assumptions!$C$36,0)</f>
        <v>0</v>
      </c>
      <c r="O23" s="32">
        <f>IF(MONTH(O$6)&lt;&gt;MONTH(O$6-7),Assumptions!$C$36,0)</f>
        <v>0</v>
      </c>
      <c r="P23" s="19">
        <f t="shared" si="3"/>
        <v>19500</v>
      </c>
    </row>
    <row r="24" spans="2:16" x14ac:dyDescent="0.55000000000000004">
      <c r="B24" s="7" t="s">
        <v>41</v>
      </c>
      <c r="C24" s="32">
        <f>IF(MONTH(C$6)&lt;&gt;MONTH(C$6-7),Assumptions!$C$37,0)</f>
        <v>1800</v>
      </c>
      <c r="D24" s="32">
        <f>IF(MONTH(D$6)&lt;&gt;MONTH(D$6-7),Assumptions!$C$37,0)</f>
        <v>0</v>
      </c>
      <c r="E24" s="32">
        <f>IF(MONTH(E$6)&lt;&gt;MONTH(E$6-7),Assumptions!$C$37,0)</f>
        <v>0</v>
      </c>
      <c r="F24" s="32">
        <f>IF(MONTH(F$6)&lt;&gt;MONTH(F$6-7),Assumptions!$C$37,0)</f>
        <v>0</v>
      </c>
      <c r="G24" s="32">
        <f>IF(MONTH(G$6)&lt;&gt;MONTH(G$6-7),Assumptions!$C$37,0)</f>
        <v>1800</v>
      </c>
      <c r="H24" s="32">
        <f>IF(MONTH(H$6)&lt;&gt;MONTH(H$6-7),Assumptions!$C$37,0)</f>
        <v>0</v>
      </c>
      <c r="I24" s="32">
        <f>IF(MONTH(I$6)&lt;&gt;MONTH(I$6-7),Assumptions!$C$37,0)</f>
        <v>0</v>
      </c>
      <c r="J24" s="32">
        <f>IF(MONTH(J$6)&lt;&gt;MONTH(J$6-7),Assumptions!$C$37,0)</f>
        <v>0</v>
      </c>
      <c r="K24" s="32">
        <f>IF(MONTH(K$6)&lt;&gt;MONTH(K$6-7),Assumptions!$C$37,0)</f>
        <v>1800</v>
      </c>
      <c r="L24" s="32">
        <f>IF(MONTH(L$6)&lt;&gt;MONTH(L$6-7),Assumptions!$C$37,0)</f>
        <v>0</v>
      </c>
      <c r="M24" s="32">
        <f>IF(MONTH(M$6)&lt;&gt;MONTH(M$6-7),Assumptions!$C$37,0)</f>
        <v>0</v>
      </c>
      <c r="N24" s="32">
        <f>IF(MONTH(N$6)&lt;&gt;MONTH(N$6-7),Assumptions!$C$37,0)</f>
        <v>0</v>
      </c>
      <c r="O24" s="32">
        <f>IF(MONTH(O$6)&lt;&gt;MONTH(O$6-7),Assumptions!$C$37,0)</f>
        <v>0</v>
      </c>
      <c r="P24" s="19">
        <f t="shared" si="3"/>
        <v>5400</v>
      </c>
    </row>
    <row r="25" spans="2:16" x14ac:dyDescent="0.55000000000000004">
      <c r="B25" s="7" t="s">
        <v>42</v>
      </c>
      <c r="C25" s="32">
        <f>IF(MONTH(C$6)&lt;&gt;MONTH(C$6-7),Assumptions!$C$38,0)</f>
        <v>4500</v>
      </c>
      <c r="D25" s="32">
        <f>IF(MONTH(D$6)&lt;&gt;MONTH(D$6-7),Assumptions!$C$38,0)</f>
        <v>0</v>
      </c>
      <c r="E25" s="32">
        <f>IF(MONTH(E$6)&lt;&gt;MONTH(E$6-7),Assumptions!$C$38,0)</f>
        <v>0</v>
      </c>
      <c r="F25" s="32">
        <f>IF(MONTH(F$6)&lt;&gt;MONTH(F$6-7),Assumptions!$C$38,0)</f>
        <v>0</v>
      </c>
      <c r="G25" s="32">
        <f>IF(MONTH(G$6)&lt;&gt;MONTH(G$6-7),Assumptions!$C$38,0)</f>
        <v>4500</v>
      </c>
      <c r="H25" s="32">
        <f>IF(MONTH(H$6)&lt;&gt;MONTH(H$6-7),Assumptions!$C$38,0)</f>
        <v>0</v>
      </c>
      <c r="I25" s="32">
        <f>IF(MONTH(I$6)&lt;&gt;MONTH(I$6-7),Assumptions!$C$38,0)</f>
        <v>0</v>
      </c>
      <c r="J25" s="32">
        <f>IF(MONTH(J$6)&lt;&gt;MONTH(J$6-7),Assumptions!$C$38,0)</f>
        <v>0</v>
      </c>
      <c r="K25" s="32">
        <f>IF(MONTH(K$6)&lt;&gt;MONTH(K$6-7),Assumptions!$C$38,0)</f>
        <v>4500</v>
      </c>
      <c r="L25" s="32">
        <f>IF(MONTH(L$6)&lt;&gt;MONTH(L$6-7),Assumptions!$C$38,0)</f>
        <v>0</v>
      </c>
      <c r="M25" s="32">
        <f>IF(MONTH(M$6)&lt;&gt;MONTH(M$6-7),Assumptions!$C$38,0)</f>
        <v>0</v>
      </c>
      <c r="N25" s="32">
        <f>IF(MONTH(N$6)&lt;&gt;MONTH(N$6-7),Assumptions!$C$38,0)</f>
        <v>0</v>
      </c>
      <c r="O25" s="32">
        <f>IF(MONTH(O$6)&lt;&gt;MONTH(O$6-7),Assumptions!$C$38,0)</f>
        <v>0</v>
      </c>
      <c r="P25" s="19">
        <f t="shared" si="3"/>
        <v>13500</v>
      </c>
    </row>
    <row r="26" spans="2:16" x14ac:dyDescent="0.55000000000000004">
      <c r="B26" s="7" t="s">
        <v>43</v>
      </c>
      <c r="C26" s="32">
        <f>IF(MONTH(C$6)&lt;&gt;MONTH(C$6-7),Assumptions!$C$39,0)</f>
        <v>2400</v>
      </c>
      <c r="D26" s="32">
        <f>IF(MONTH(D$6)&lt;&gt;MONTH(D$6-7),Assumptions!$C$39,0)</f>
        <v>0</v>
      </c>
      <c r="E26" s="32">
        <f>IF(MONTH(E$6)&lt;&gt;MONTH(E$6-7),Assumptions!$C$39,0)</f>
        <v>0</v>
      </c>
      <c r="F26" s="32">
        <f>IF(MONTH(F$6)&lt;&gt;MONTH(F$6-7),Assumptions!$C$39,0)</f>
        <v>0</v>
      </c>
      <c r="G26" s="32">
        <f>IF(MONTH(G$6)&lt;&gt;MONTH(G$6-7),Assumptions!$C$39,0)</f>
        <v>2400</v>
      </c>
      <c r="H26" s="32">
        <f>IF(MONTH(H$6)&lt;&gt;MONTH(H$6-7),Assumptions!$C$39,0)</f>
        <v>0</v>
      </c>
      <c r="I26" s="32">
        <f>IF(MONTH(I$6)&lt;&gt;MONTH(I$6-7),Assumptions!$C$39,0)</f>
        <v>0</v>
      </c>
      <c r="J26" s="32">
        <f>IF(MONTH(J$6)&lt;&gt;MONTH(J$6-7),Assumptions!$C$39,0)</f>
        <v>0</v>
      </c>
      <c r="K26" s="32">
        <f>IF(MONTH(K$6)&lt;&gt;MONTH(K$6-7),Assumptions!$C$39,0)</f>
        <v>2400</v>
      </c>
      <c r="L26" s="32">
        <f>IF(MONTH(L$6)&lt;&gt;MONTH(L$6-7),Assumptions!$C$39,0)</f>
        <v>0</v>
      </c>
      <c r="M26" s="32">
        <f>IF(MONTH(M$6)&lt;&gt;MONTH(M$6-7),Assumptions!$C$39,0)</f>
        <v>0</v>
      </c>
      <c r="N26" s="32">
        <f>IF(MONTH(N$6)&lt;&gt;MONTH(N$6-7),Assumptions!$C$39,0)</f>
        <v>0</v>
      </c>
      <c r="O26" s="32">
        <f>IF(MONTH(O$6)&lt;&gt;MONTH(O$6-7),Assumptions!$C$39,0)</f>
        <v>0</v>
      </c>
      <c r="P26" s="19">
        <f t="shared" si="3"/>
        <v>7200</v>
      </c>
    </row>
    <row r="27" spans="2:16" x14ac:dyDescent="0.55000000000000004">
      <c r="B27" s="7" t="s">
        <v>133</v>
      </c>
      <c r="C27" s="32">
        <f>IF(MONTH(C$6)&lt;&gt;MONTH(C$6-7),Assumptions!$C$40,0)</f>
        <v>3200</v>
      </c>
      <c r="D27" s="32">
        <f>IF(MONTH(D$6)&lt;&gt;MONTH(D$6-7),Assumptions!$C$40,0)</f>
        <v>0</v>
      </c>
      <c r="E27" s="32">
        <f>IF(MONTH(E$6)&lt;&gt;MONTH(E$6-7),Assumptions!$C$40,0)</f>
        <v>0</v>
      </c>
      <c r="F27" s="32">
        <f>IF(MONTH(F$6)&lt;&gt;MONTH(F$6-7),Assumptions!$C$40,0)</f>
        <v>0</v>
      </c>
      <c r="G27" s="32">
        <f>IF(MONTH(G$6)&lt;&gt;MONTH(G$6-7),Assumptions!$C$40,0)</f>
        <v>3200</v>
      </c>
      <c r="H27" s="32">
        <f>IF(MONTH(H$6)&lt;&gt;MONTH(H$6-7),Assumptions!$C$40,0)</f>
        <v>0</v>
      </c>
      <c r="I27" s="32">
        <f>IF(MONTH(I$6)&lt;&gt;MONTH(I$6-7),Assumptions!$C$40,0)</f>
        <v>0</v>
      </c>
      <c r="J27" s="32">
        <f>IF(MONTH(J$6)&lt;&gt;MONTH(J$6-7),Assumptions!$C$40,0)</f>
        <v>0</v>
      </c>
      <c r="K27" s="32">
        <f>IF(MONTH(K$6)&lt;&gt;MONTH(K$6-7),Assumptions!$C$40,0)</f>
        <v>3200</v>
      </c>
      <c r="L27" s="32">
        <f>IF(MONTH(L$6)&lt;&gt;MONTH(L$6-7),Assumptions!$C$40,0)</f>
        <v>0</v>
      </c>
      <c r="M27" s="32">
        <f>IF(MONTH(M$6)&lt;&gt;MONTH(M$6-7),Assumptions!$C$40,0)</f>
        <v>0</v>
      </c>
      <c r="N27" s="32">
        <f>IF(MONTH(N$6)&lt;&gt;MONTH(N$6-7),Assumptions!$C$40,0)</f>
        <v>0</v>
      </c>
      <c r="O27" s="32">
        <f>IF(MONTH(O$6)&lt;&gt;MONTH(O$6-7),Assumptions!$C$40,0)</f>
        <v>0</v>
      </c>
      <c r="P27" s="19">
        <f t="shared" si="3"/>
        <v>9600</v>
      </c>
    </row>
    <row r="28" spans="2:16" x14ac:dyDescent="0.55000000000000004">
      <c r="B28" s="7" t="s">
        <v>52</v>
      </c>
      <c r="C28" s="32">
        <f>Assumptions!C47</f>
        <v>0</v>
      </c>
      <c r="D28" s="32">
        <f>Assumptions!D47</f>
        <v>0</v>
      </c>
      <c r="E28" s="32">
        <f>Assumptions!E47</f>
        <v>0</v>
      </c>
      <c r="F28" s="32">
        <f>Assumptions!F47</f>
        <v>0</v>
      </c>
      <c r="G28" s="32">
        <f>Assumptions!G47</f>
        <v>0</v>
      </c>
      <c r="H28" s="32">
        <f>Assumptions!H47</f>
        <v>0</v>
      </c>
      <c r="I28" s="32">
        <f>Assumptions!I47</f>
        <v>0</v>
      </c>
      <c r="J28" s="32">
        <f>Assumptions!J47</f>
        <v>0</v>
      </c>
      <c r="K28" s="32">
        <f>Assumptions!K47</f>
        <v>0</v>
      </c>
      <c r="L28" s="32">
        <f>Assumptions!L47</f>
        <v>0</v>
      </c>
      <c r="M28" s="32">
        <f>Assumptions!M47</f>
        <v>0</v>
      </c>
      <c r="N28" s="32">
        <f>Assumptions!N47</f>
        <v>0</v>
      </c>
      <c r="O28" s="32">
        <f>Assumptions!O47</f>
        <v>0</v>
      </c>
      <c r="P28" s="19">
        <f t="shared" si="3"/>
        <v>0</v>
      </c>
    </row>
    <row r="29" spans="2:16" x14ac:dyDescent="0.55000000000000004">
      <c r="B29" s="7" t="s">
        <v>49</v>
      </c>
      <c r="C29" s="32">
        <f>Assumptions!C44</f>
        <v>0</v>
      </c>
      <c r="D29" s="32">
        <f>Assumptions!D44</f>
        <v>0</v>
      </c>
      <c r="E29" s="32">
        <f>Assumptions!E44</f>
        <v>0</v>
      </c>
      <c r="F29" s="32">
        <f>Assumptions!F44</f>
        <v>0</v>
      </c>
      <c r="G29" s="32">
        <f>Assumptions!G44</f>
        <v>0</v>
      </c>
      <c r="H29" s="32">
        <f>Assumptions!H44</f>
        <v>65000</v>
      </c>
      <c r="I29" s="32">
        <f>Assumptions!I44</f>
        <v>0</v>
      </c>
      <c r="J29" s="32">
        <f>Assumptions!J44</f>
        <v>0</v>
      </c>
      <c r="K29" s="32">
        <f>Assumptions!K44</f>
        <v>0</v>
      </c>
      <c r="L29" s="32">
        <f>Assumptions!L44</f>
        <v>0</v>
      </c>
      <c r="M29" s="32">
        <f>Assumptions!M44</f>
        <v>0</v>
      </c>
      <c r="N29" s="32">
        <f>Assumptions!N44</f>
        <v>0</v>
      </c>
      <c r="O29" s="32">
        <f>Assumptions!O44</f>
        <v>0</v>
      </c>
      <c r="P29" s="19">
        <f t="shared" si="3"/>
        <v>65000</v>
      </c>
    </row>
    <row r="30" spans="2:16" x14ac:dyDescent="0.55000000000000004">
      <c r="B30" s="7" t="s">
        <v>50</v>
      </c>
      <c r="C30" s="32">
        <f>Assumptions!C45</f>
        <v>0</v>
      </c>
      <c r="D30" s="32">
        <f>Assumptions!D45</f>
        <v>0</v>
      </c>
      <c r="E30" s="32">
        <f>Assumptions!E45</f>
        <v>0</v>
      </c>
      <c r="F30" s="32">
        <f>Assumptions!F45</f>
        <v>0</v>
      </c>
      <c r="G30" s="32">
        <f>Assumptions!G45</f>
        <v>0</v>
      </c>
      <c r="H30" s="32">
        <f>Assumptions!H45</f>
        <v>0</v>
      </c>
      <c r="I30" s="32">
        <f>Assumptions!I45</f>
        <v>0</v>
      </c>
      <c r="J30" s="32">
        <f>Assumptions!J45</f>
        <v>0</v>
      </c>
      <c r="K30" s="32">
        <f>Assumptions!K45</f>
        <v>40000</v>
      </c>
      <c r="L30" s="32">
        <f>Assumptions!L45</f>
        <v>0</v>
      </c>
      <c r="M30" s="32">
        <f>Assumptions!M45</f>
        <v>0</v>
      </c>
      <c r="N30" s="32">
        <f>Assumptions!N45</f>
        <v>0</v>
      </c>
      <c r="O30" s="32">
        <f>Assumptions!O45</f>
        <v>0</v>
      </c>
      <c r="P30" s="19">
        <f t="shared" si="3"/>
        <v>40000</v>
      </c>
    </row>
    <row r="31" spans="2:16" x14ac:dyDescent="0.55000000000000004">
      <c r="B31" s="7" t="s">
        <v>134</v>
      </c>
      <c r="C31" s="32">
        <f>Assumptions!C49</f>
        <v>0</v>
      </c>
      <c r="D31" s="32">
        <f>Assumptions!D49</f>
        <v>0</v>
      </c>
      <c r="E31" s="32">
        <f>Assumptions!E49</f>
        <v>0</v>
      </c>
      <c r="F31" s="32">
        <f>Assumptions!F49</f>
        <v>0</v>
      </c>
      <c r="G31" s="32">
        <f>Assumptions!G49</f>
        <v>34000</v>
      </c>
      <c r="H31" s="32">
        <f>Assumptions!H49</f>
        <v>0</v>
      </c>
      <c r="I31" s="32">
        <f>Assumptions!I49</f>
        <v>0</v>
      </c>
      <c r="J31" s="32">
        <f>Assumptions!J49</f>
        <v>0</v>
      </c>
      <c r="K31" s="32">
        <f>Assumptions!K49</f>
        <v>0</v>
      </c>
      <c r="L31" s="32">
        <f>Assumptions!L49</f>
        <v>0</v>
      </c>
      <c r="M31" s="32">
        <f>Assumptions!M49</f>
        <v>0</v>
      </c>
      <c r="N31" s="32">
        <f>Assumptions!N49</f>
        <v>0</v>
      </c>
      <c r="O31" s="32">
        <f>Assumptions!O49</f>
        <v>0</v>
      </c>
      <c r="P31" s="19">
        <f t="shared" si="3"/>
        <v>34000</v>
      </c>
    </row>
    <row r="32" spans="2:16" x14ac:dyDescent="0.55000000000000004">
      <c r="B32" s="31" t="s">
        <v>135</v>
      </c>
      <c r="C32" s="28">
        <f t="shared" ref="C32:O32" si="4">SUM(C19:C31)</f>
        <v>124600</v>
      </c>
      <c r="D32" s="28">
        <f t="shared" si="4"/>
        <v>19700</v>
      </c>
      <c r="E32" s="28">
        <f t="shared" si="4"/>
        <v>51330</v>
      </c>
      <c r="F32" s="28">
        <f t="shared" si="4"/>
        <v>32800</v>
      </c>
      <c r="G32" s="28">
        <f t="shared" si="4"/>
        <v>99850</v>
      </c>
      <c r="H32" s="28">
        <f t="shared" si="4"/>
        <v>110700</v>
      </c>
      <c r="I32" s="28">
        <f t="shared" si="4"/>
        <v>44200</v>
      </c>
      <c r="J32" s="28">
        <f t="shared" si="4"/>
        <v>24200</v>
      </c>
      <c r="K32" s="28">
        <f t="shared" si="4"/>
        <v>102600</v>
      </c>
      <c r="L32" s="28">
        <f t="shared" si="4"/>
        <v>24200</v>
      </c>
      <c r="M32" s="28">
        <f t="shared" si="4"/>
        <v>44200</v>
      </c>
      <c r="N32" s="28">
        <f t="shared" si="4"/>
        <v>24200</v>
      </c>
      <c r="O32" s="28">
        <f t="shared" si="4"/>
        <v>44200</v>
      </c>
      <c r="P32" s="28">
        <f t="shared" si="3"/>
        <v>746780</v>
      </c>
    </row>
    <row r="34" spans="2:16" x14ac:dyDescent="0.55000000000000004">
      <c r="B34" s="33" t="s">
        <v>136</v>
      </c>
      <c r="C34" s="20">
        <f t="shared" ref="C34:O34" si="5">C16-C32</f>
        <v>-4550</v>
      </c>
      <c r="D34" s="20">
        <f t="shared" si="5"/>
        <v>63100</v>
      </c>
      <c r="E34" s="20">
        <f t="shared" si="5"/>
        <v>40620</v>
      </c>
      <c r="F34" s="20">
        <f t="shared" si="5"/>
        <v>45900</v>
      </c>
      <c r="G34" s="20">
        <f t="shared" si="5"/>
        <v>-55850</v>
      </c>
      <c r="H34" s="20">
        <f t="shared" si="5"/>
        <v>-66700</v>
      </c>
      <c r="I34" s="20">
        <f t="shared" si="5"/>
        <v>-200</v>
      </c>
      <c r="J34" s="20">
        <f t="shared" si="5"/>
        <v>29550</v>
      </c>
      <c r="K34" s="20">
        <f t="shared" si="5"/>
        <v>-58600</v>
      </c>
      <c r="L34" s="20">
        <f t="shared" si="5"/>
        <v>19800</v>
      </c>
      <c r="M34" s="20">
        <f t="shared" si="5"/>
        <v>-200</v>
      </c>
      <c r="N34" s="20">
        <f t="shared" si="5"/>
        <v>19800</v>
      </c>
      <c r="O34" s="20">
        <f t="shared" si="5"/>
        <v>-200</v>
      </c>
      <c r="P34" s="20">
        <f>SUM(C34:O34)</f>
        <v>32470</v>
      </c>
    </row>
    <row r="35" spans="2:16" x14ac:dyDescent="0.55000000000000004">
      <c r="B35" s="31" t="s">
        <v>137</v>
      </c>
      <c r="C35" s="28">
        <f t="shared" ref="C35:O35" si="6">C9+C34</f>
        <v>113450</v>
      </c>
      <c r="D35" s="28">
        <f t="shared" si="6"/>
        <v>176550</v>
      </c>
      <c r="E35" s="28">
        <f t="shared" si="6"/>
        <v>217170</v>
      </c>
      <c r="F35" s="28">
        <f t="shared" si="6"/>
        <v>263070</v>
      </c>
      <c r="G35" s="28">
        <f t="shared" si="6"/>
        <v>207220</v>
      </c>
      <c r="H35" s="28">
        <f t="shared" si="6"/>
        <v>140520</v>
      </c>
      <c r="I35" s="28">
        <f t="shared" si="6"/>
        <v>140320</v>
      </c>
      <c r="J35" s="28">
        <f t="shared" si="6"/>
        <v>169870</v>
      </c>
      <c r="K35" s="28">
        <f t="shared" si="6"/>
        <v>111270</v>
      </c>
      <c r="L35" s="28">
        <f t="shared" si="6"/>
        <v>131070</v>
      </c>
      <c r="M35" s="28">
        <f t="shared" si="6"/>
        <v>130870</v>
      </c>
      <c r="N35" s="28">
        <f t="shared" si="6"/>
        <v>150670</v>
      </c>
      <c r="O35" s="28">
        <f t="shared" si="6"/>
        <v>150470</v>
      </c>
      <c r="P35" s="28">
        <f>O35</f>
        <v>150470</v>
      </c>
    </row>
    <row r="37" spans="2:16" x14ac:dyDescent="0.55000000000000004">
      <c r="B37" s="6" t="s">
        <v>138</v>
      </c>
      <c r="C37" s="4"/>
      <c r="D37" s="4"/>
      <c r="E37" s="4"/>
      <c r="F37" s="4"/>
      <c r="G37" s="4"/>
      <c r="H37" s="4"/>
      <c r="I37" s="4"/>
      <c r="J37" s="4"/>
      <c r="K37" s="4"/>
      <c r="L37" s="4"/>
      <c r="M37" s="4"/>
      <c r="N37" s="4"/>
      <c r="O37" s="4"/>
      <c r="P37" s="4"/>
    </row>
    <row r="38" spans="2:16" x14ac:dyDescent="0.55000000000000004">
      <c r="B38" s="7" t="s">
        <v>139</v>
      </c>
      <c r="C38" s="32">
        <f>Assumptions!$C$9</f>
        <v>100000</v>
      </c>
      <c r="D38" s="32">
        <f>Assumptions!$C$9</f>
        <v>100000</v>
      </c>
      <c r="E38" s="32">
        <f>Assumptions!$C$9</f>
        <v>100000</v>
      </c>
      <c r="F38" s="32">
        <f>Assumptions!$C$9</f>
        <v>100000</v>
      </c>
      <c r="G38" s="32">
        <f>Assumptions!$C$9</f>
        <v>100000</v>
      </c>
      <c r="H38" s="32">
        <f>Assumptions!$C$9</f>
        <v>100000</v>
      </c>
      <c r="I38" s="32">
        <f>Assumptions!$C$9</f>
        <v>100000</v>
      </c>
      <c r="J38" s="32">
        <f>Assumptions!$C$9</f>
        <v>100000</v>
      </c>
      <c r="K38" s="32">
        <f>Assumptions!$C$9</f>
        <v>100000</v>
      </c>
      <c r="L38" s="32">
        <f>Assumptions!$C$9</f>
        <v>100000</v>
      </c>
      <c r="M38" s="32">
        <f>Assumptions!$C$9</f>
        <v>100000</v>
      </c>
      <c r="N38" s="32">
        <f>Assumptions!$C$9</f>
        <v>100000</v>
      </c>
      <c r="O38" s="32">
        <f>Assumptions!$C$9</f>
        <v>100000</v>
      </c>
    </row>
    <row r="39" spans="2:16" x14ac:dyDescent="0.55000000000000004">
      <c r="B39" s="33" t="s">
        <v>140</v>
      </c>
      <c r="C39" s="20">
        <f t="shared" ref="C39:O39" si="7">C35-C38</f>
        <v>13450</v>
      </c>
      <c r="D39" s="20">
        <f t="shared" si="7"/>
        <v>76550</v>
      </c>
      <c r="E39" s="20">
        <f t="shared" si="7"/>
        <v>117170</v>
      </c>
      <c r="F39" s="20">
        <f t="shared" si="7"/>
        <v>163070</v>
      </c>
      <c r="G39" s="20">
        <f t="shared" si="7"/>
        <v>107220</v>
      </c>
      <c r="H39" s="20">
        <f t="shared" si="7"/>
        <v>40520</v>
      </c>
      <c r="I39" s="20">
        <f t="shared" si="7"/>
        <v>40320</v>
      </c>
      <c r="J39" s="20">
        <f t="shared" si="7"/>
        <v>69870</v>
      </c>
      <c r="K39" s="20">
        <f t="shared" si="7"/>
        <v>11270</v>
      </c>
      <c r="L39" s="20">
        <f t="shared" si="7"/>
        <v>31070</v>
      </c>
      <c r="M39" s="20">
        <f t="shared" si="7"/>
        <v>30870</v>
      </c>
      <c r="N39" s="20">
        <f t="shared" si="7"/>
        <v>50670</v>
      </c>
      <c r="O39" s="20">
        <f t="shared" si="7"/>
        <v>50470</v>
      </c>
    </row>
    <row r="40" spans="2:16" x14ac:dyDescent="0.55000000000000004">
      <c r="B40" s="7" t="s">
        <v>141</v>
      </c>
      <c r="C40" s="32">
        <f>Assumptions!$C$11+C15-C28</f>
        <v>50000</v>
      </c>
      <c r="D40" s="32">
        <f t="shared" ref="D40:O40" si="8">C40+D15-D28</f>
        <v>50000</v>
      </c>
      <c r="E40" s="32">
        <f t="shared" si="8"/>
        <v>50000</v>
      </c>
      <c r="F40" s="32">
        <f t="shared" si="8"/>
        <v>50000</v>
      </c>
      <c r="G40" s="32">
        <f t="shared" si="8"/>
        <v>50000</v>
      </c>
      <c r="H40" s="32">
        <f t="shared" si="8"/>
        <v>50000</v>
      </c>
      <c r="I40" s="32">
        <f t="shared" si="8"/>
        <v>50000</v>
      </c>
      <c r="J40" s="32">
        <f t="shared" si="8"/>
        <v>50000</v>
      </c>
      <c r="K40" s="32">
        <f t="shared" si="8"/>
        <v>50000</v>
      </c>
      <c r="L40" s="32">
        <f t="shared" si="8"/>
        <v>50000</v>
      </c>
      <c r="M40" s="32">
        <f t="shared" si="8"/>
        <v>50000</v>
      </c>
      <c r="N40" s="32">
        <f t="shared" si="8"/>
        <v>50000</v>
      </c>
      <c r="O40" s="32">
        <f t="shared" si="8"/>
        <v>50000</v>
      </c>
    </row>
    <row r="41" spans="2:16" x14ac:dyDescent="0.55000000000000004">
      <c r="B41" s="7" t="s">
        <v>142</v>
      </c>
      <c r="C41" s="32">
        <f>Assumptions!$C$10-C40</f>
        <v>200000</v>
      </c>
      <c r="D41" s="32">
        <f>Assumptions!$C$10-D40</f>
        <v>200000</v>
      </c>
      <c r="E41" s="32">
        <f>Assumptions!$C$10-E40</f>
        <v>200000</v>
      </c>
      <c r="F41" s="32">
        <f>Assumptions!$C$10-F40</f>
        <v>200000</v>
      </c>
      <c r="G41" s="32">
        <f>Assumptions!$C$10-G40</f>
        <v>200000</v>
      </c>
      <c r="H41" s="32">
        <f>Assumptions!$C$10-H40</f>
        <v>200000</v>
      </c>
      <c r="I41" s="32">
        <f>Assumptions!$C$10-I40</f>
        <v>200000</v>
      </c>
      <c r="J41" s="32">
        <f>Assumptions!$C$10-J40</f>
        <v>200000</v>
      </c>
      <c r="K41" s="32">
        <f>Assumptions!$C$10-K40</f>
        <v>200000</v>
      </c>
      <c r="L41" s="32">
        <f>Assumptions!$C$10-L40</f>
        <v>200000</v>
      </c>
      <c r="M41" s="32">
        <f>Assumptions!$C$10-M40</f>
        <v>200000</v>
      </c>
      <c r="N41" s="32">
        <f>Assumptions!$C$10-N40</f>
        <v>200000</v>
      </c>
      <c r="O41" s="32">
        <f>Assumptions!$C$10-O40</f>
        <v>200000</v>
      </c>
    </row>
    <row r="42" spans="2:16" x14ac:dyDescent="0.55000000000000004">
      <c r="B42" s="33" t="s">
        <v>143</v>
      </c>
      <c r="C42" s="20">
        <f t="shared" ref="C42:O42" si="9">C35+C41</f>
        <v>313450</v>
      </c>
      <c r="D42" s="20">
        <f t="shared" si="9"/>
        <v>376550</v>
      </c>
      <c r="E42" s="20">
        <f t="shared" si="9"/>
        <v>417170</v>
      </c>
      <c r="F42" s="20">
        <f t="shared" si="9"/>
        <v>463070</v>
      </c>
      <c r="G42" s="20">
        <f t="shared" si="9"/>
        <v>407220</v>
      </c>
      <c r="H42" s="20">
        <f t="shared" si="9"/>
        <v>340520</v>
      </c>
      <c r="I42" s="20">
        <f t="shared" si="9"/>
        <v>340320</v>
      </c>
      <c r="J42" s="20">
        <f t="shared" si="9"/>
        <v>369870</v>
      </c>
      <c r="K42" s="20">
        <f t="shared" si="9"/>
        <v>311270</v>
      </c>
      <c r="L42" s="20">
        <f t="shared" si="9"/>
        <v>331070</v>
      </c>
      <c r="M42" s="20">
        <f t="shared" si="9"/>
        <v>330870</v>
      </c>
      <c r="N42" s="20">
        <f t="shared" si="9"/>
        <v>350670</v>
      </c>
      <c r="O42" s="20">
        <f t="shared" si="9"/>
        <v>350470</v>
      </c>
    </row>
    <row r="44" spans="2:16" x14ac:dyDescent="0.55000000000000004">
      <c r="B44" s="2" t="s">
        <v>144</v>
      </c>
      <c r="C44" s="14">
        <f>Assumptions!C50</f>
        <v>44000</v>
      </c>
      <c r="D44" s="14">
        <f>Assumptions!D50</f>
        <v>44000</v>
      </c>
      <c r="E44" s="14">
        <f>Assumptions!E50</f>
        <v>44000</v>
      </c>
      <c r="F44" s="14">
        <f>Assumptions!F50</f>
        <v>44000</v>
      </c>
      <c r="G44" s="14">
        <f>Assumptions!G50</f>
        <v>44000</v>
      </c>
      <c r="H44" s="14">
        <f>Assumptions!H50</f>
        <v>44000</v>
      </c>
      <c r="I44" s="14">
        <f>Assumptions!I50</f>
        <v>44000</v>
      </c>
      <c r="J44" s="14">
        <f>Assumptions!J50</f>
        <v>44000</v>
      </c>
      <c r="K44" s="14">
        <f>Assumptions!K50</f>
        <v>44000</v>
      </c>
      <c r="L44" s="14">
        <f>Assumptions!L50</f>
        <v>44000</v>
      </c>
      <c r="M44" s="14">
        <f>Assumptions!M50</f>
        <v>44000</v>
      </c>
      <c r="N44" s="14">
        <f>Assumptions!N50</f>
        <v>44000</v>
      </c>
      <c r="O44" s="14">
        <f>Assumptions!O50</f>
        <v>44000</v>
      </c>
      <c r="P44" s="14">
        <f>SUM(C44:O44)</f>
        <v>572000</v>
      </c>
    </row>
  </sheetData>
  <conditionalFormatting sqref="C39:O39">
    <cfRule type="cellIs" dxfId="2" priority="2" operator="lessThan">
      <formula>0</formula>
    </cfRule>
  </conditionalFormatting>
  <printOptions horizontalCentered="1"/>
  <pageMargins left="0.75" right="0.75" top="1" bottom="1" header="0.511811023622047" footer="0.511811023622047"/>
  <pageSetup fitToHeight="0" orientation="landscape" horizontalDpi="300" verticalDpi="300"/>
  <extLst>
    <ext xmlns:x14="http://schemas.microsoft.com/office/spreadsheetml/2009/9/main" uri="{78C0D931-6437-407d-A8EE-F0AAD7539E65}">
      <x14:conditionalFormattings>
        <x14:conditionalFormatting xmlns:xm="http://schemas.microsoft.com/office/excel/2006/main">
          <x14:cfRule type="cellIs" priority="3" operator="lessThan" id="{00000000-000E-0000-0300-000003000000}">
            <xm:f>Assumptions!$C$9</xm:f>
            <x14:dxf>
              <font>
                <b/>
                <sz val="11"/>
                <color rgb="FFA13544"/>
                <name val="Calibri"/>
                <charset val="1"/>
              </font>
            </x14:dxf>
          </x14:cfRule>
          <xm:sqref>C35:O35</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2:M22"/>
  <sheetViews>
    <sheetView showGridLines="0" zoomScaleNormal="100" workbookViewId="0">
      <pane xSplit="1" ySplit="6" topLeftCell="B7" activePane="bottomRight" state="frozen"/>
      <selection pane="topRight" activeCell="B1" sqref="B1"/>
      <selection pane="bottomLeft" activeCell="A7" sqref="A7"/>
      <selection pane="bottomRight"/>
    </sheetView>
  </sheetViews>
  <sheetFormatPr defaultColWidth="8.68359375" defaultRowHeight="14.4" x14ac:dyDescent="0.55000000000000004"/>
  <cols>
    <col min="1" max="1" width="3" customWidth="1"/>
    <col min="2" max="2" width="8" customWidth="1"/>
    <col min="3" max="3" width="12" customWidth="1"/>
    <col min="4" max="5" width="13" customWidth="1"/>
    <col min="6" max="6" width="12" customWidth="1"/>
    <col min="7" max="8" width="13" customWidth="1"/>
    <col min="9" max="9" width="12" customWidth="1"/>
    <col min="10" max="11" width="13" customWidth="1"/>
    <col min="12" max="12" width="12" customWidth="1"/>
    <col min="13" max="13" width="46" customWidth="1"/>
  </cols>
  <sheetData>
    <row r="2" spans="2:13" ht="20.399999999999999" x14ac:dyDescent="0.75">
      <c r="B2" s="1" t="s">
        <v>145</v>
      </c>
    </row>
    <row r="3" spans="2:13" x14ac:dyDescent="0.55000000000000004">
      <c r="B3" s="2" t="s">
        <v>146</v>
      </c>
    </row>
    <row r="5" spans="2:13" x14ac:dyDescent="0.55000000000000004">
      <c r="D5" s="34" t="s">
        <v>123</v>
      </c>
      <c r="G5" s="34" t="s">
        <v>128</v>
      </c>
      <c r="J5" s="34" t="s">
        <v>137</v>
      </c>
    </row>
    <row r="6" spans="2:13" x14ac:dyDescent="0.55000000000000004">
      <c r="B6" s="22" t="s">
        <v>147</v>
      </c>
      <c r="C6" s="22" t="s">
        <v>120</v>
      </c>
      <c r="D6" s="22" t="s">
        <v>148</v>
      </c>
      <c r="E6" s="22" t="s">
        <v>149</v>
      </c>
      <c r="F6" s="22" t="s">
        <v>150</v>
      </c>
      <c r="G6" s="22" t="s">
        <v>148</v>
      </c>
      <c r="H6" s="22" t="s">
        <v>149</v>
      </c>
      <c r="I6" s="22" t="s">
        <v>150</v>
      </c>
      <c r="J6" s="22" t="s">
        <v>148</v>
      </c>
      <c r="K6" s="22" t="s">
        <v>149</v>
      </c>
      <c r="L6" s="22" t="s">
        <v>150</v>
      </c>
      <c r="M6" s="22" t="s">
        <v>151</v>
      </c>
    </row>
    <row r="7" spans="2:13" x14ac:dyDescent="0.55000000000000004">
      <c r="B7" s="35">
        <f>'13-Week Forecast'!C$5</f>
        <v>1</v>
      </c>
      <c r="C7" s="36">
        <f>'13-Week Forecast'!C$6</f>
        <v>46241</v>
      </c>
      <c r="D7" s="37">
        <f>'13-Week Forecast'!C$16</f>
        <v>120050</v>
      </c>
      <c r="E7" s="25"/>
      <c r="F7" s="38" t="str">
        <f t="shared" ref="F7:F19" si="0">IF(E7="","",E7-D7)</f>
        <v/>
      </c>
      <c r="G7" s="37">
        <f>'13-Week Forecast'!C$32</f>
        <v>124600</v>
      </c>
      <c r="H7" s="25"/>
      <c r="I7" s="38" t="str">
        <f t="shared" ref="I7:I19" si="1">IF(H7="","",G7-H7)</f>
        <v/>
      </c>
      <c r="J7" s="37">
        <f>'13-Week Forecast'!C$35</f>
        <v>113450</v>
      </c>
      <c r="K7" s="25"/>
      <c r="L7" s="38" t="str">
        <f t="shared" ref="L7:L19" si="2">IF(K7="","",K7-J7)</f>
        <v/>
      </c>
      <c r="M7" s="39"/>
    </row>
    <row r="8" spans="2:13" x14ac:dyDescent="0.55000000000000004">
      <c r="B8" s="35">
        <f>'13-Week Forecast'!D$5</f>
        <v>2</v>
      </c>
      <c r="C8" s="36">
        <f>'13-Week Forecast'!D$6</f>
        <v>46248</v>
      </c>
      <c r="D8" s="37">
        <f>'13-Week Forecast'!D$16</f>
        <v>82800</v>
      </c>
      <c r="E8" s="25"/>
      <c r="F8" s="38" t="str">
        <f t="shared" si="0"/>
        <v/>
      </c>
      <c r="G8" s="37">
        <f>'13-Week Forecast'!D$32</f>
        <v>19700</v>
      </c>
      <c r="H8" s="25"/>
      <c r="I8" s="38" t="str">
        <f t="shared" si="1"/>
        <v/>
      </c>
      <c r="J8" s="37">
        <f>'13-Week Forecast'!D$35</f>
        <v>176550</v>
      </c>
      <c r="K8" s="25"/>
      <c r="L8" s="38" t="str">
        <f t="shared" si="2"/>
        <v/>
      </c>
      <c r="M8" s="39"/>
    </row>
    <row r="9" spans="2:13" x14ac:dyDescent="0.55000000000000004">
      <c r="B9" s="35">
        <f>'13-Week Forecast'!E$5</f>
        <v>3</v>
      </c>
      <c r="C9" s="36">
        <f>'13-Week Forecast'!E$6</f>
        <v>46255</v>
      </c>
      <c r="D9" s="37">
        <f>'13-Week Forecast'!E$16</f>
        <v>91950</v>
      </c>
      <c r="E9" s="25"/>
      <c r="F9" s="38" t="str">
        <f t="shared" si="0"/>
        <v/>
      </c>
      <c r="G9" s="37">
        <f>'13-Week Forecast'!E$32</f>
        <v>51330</v>
      </c>
      <c r="H9" s="25"/>
      <c r="I9" s="38" t="str">
        <f t="shared" si="1"/>
        <v/>
      </c>
      <c r="J9" s="37">
        <f>'13-Week Forecast'!E$35</f>
        <v>217170</v>
      </c>
      <c r="K9" s="25"/>
      <c r="L9" s="38" t="str">
        <f t="shared" si="2"/>
        <v/>
      </c>
      <c r="M9" s="39"/>
    </row>
    <row r="10" spans="2:13" x14ac:dyDescent="0.55000000000000004">
      <c r="B10" s="35">
        <f>'13-Week Forecast'!F$5</f>
        <v>4</v>
      </c>
      <c r="C10" s="36">
        <f>'13-Week Forecast'!F$6</f>
        <v>46262</v>
      </c>
      <c r="D10" s="37">
        <f>'13-Week Forecast'!F$16</f>
        <v>78700</v>
      </c>
      <c r="E10" s="25"/>
      <c r="F10" s="38" t="str">
        <f t="shared" si="0"/>
        <v/>
      </c>
      <c r="G10" s="37">
        <f>'13-Week Forecast'!F$32</f>
        <v>32800</v>
      </c>
      <c r="H10" s="25"/>
      <c r="I10" s="38" t="str">
        <f t="shared" si="1"/>
        <v/>
      </c>
      <c r="J10" s="37">
        <f>'13-Week Forecast'!F$35</f>
        <v>263070</v>
      </c>
      <c r="K10" s="25"/>
      <c r="L10" s="38" t="str">
        <f t="shared" si="2"/>
        <v/>
      </c>
      <c r="M10" s="39"/>
    </row>
    <row r="11" spans="2:13" x14ac:dyDescent="0.55000000000000004">
      <c r="B11" s="35">
        <f>'13-Week Forecast'!G$5</f>
        <v>5</v>
      </c>
      <c r="C11" s="36">
        <f>'13-Week Forecast'!G$6</f>
        <v>46269</v>
      </c>
      <c r="D11" s="37">
        <f>'13-Week Forecast'!G$16</f>
        <v>44000</v>
      </c>
      <c r="E11" s="25"/>
      <c r="F11" s="38" t="str">
        <f t="shared" si="0"/>
        <v/>
      </c>
      <c r="G11" s="37">
        <f>'13-Week Forecast'!G$32</f>
        <v>99850</v>
      </c>
      <c r="H11" s="25"/>
      <c r="I11" s="38" t="str">
        <f t="shared" si="1"/>
        <v/>
      </c>
      <c r="J11" s="37">
        <f>'13-Week Forecast'!G$35</f>
        <v>207220</v>
      </c>
      <c r="K11" s="25"/>
      <c r="L11" s="38" t="str">
        <f t="shared" si="2"/>
        <v/>
      </c>
      <c r="M11" s="39"/>
    </row>
    <row r="12" spans="2:13" x14ac:dyDescent="0.55000000000000004">
      <c r="B12" s="35">
        <f>'13-Week Forecast'!H$5</f>
        <v>6</v>
      </c>
      <c r="C12" s="36">
        <f>'13-Week Forecast'!H$6</f>
        <v>46276</v>
      </c>
      <c r="D12" s="37">
        <f>'13-Week Forecast'!H$16</f>
        <v>44000</v>
      </c>
      <c r="E12" s="25"/>
      <c r="F12" s="38" t="str">
        <f t="shared" si="0"/>
        <v/>
      </c>
      <c r="G12" s="37">
        <f>'13-Week Forecast'!H$32</f>
        <v>110700</v>
      </c>
      <c r="H12" s="25"/>
      <c r="I12" s="38" t="str">
        <f t="shared" si="1"/>
        <v/>
      </c>
      <c r="J12" s="37">
        <f>'13-Week Forecast'!H$35</f>
        <v>140520</v>
      </c>
      <c r="K12" s="25"/>
      <c r="L12" s="38" t="str">
        <f t="shared" si="2"/>
        <v/>
      </c>
      <c r="M12" s="39"/>
    </row>
    <row r="13" spans="2:13" x14ac:dyDescent="0.55000000000000004">
      <c r="B13" s="35">
        <f>'13-Week Forecast'!I$5</f>
        <v>7</v>
      </c>
      <c r="C13" s="36">
        <f>'13-Week Forecast'!I$6</f>
        <v>46283</v>
      </c>
      <c r="D13" s="37">
        <f>'13-Week Forecast'!I$16</f>
        <v>44000</v>
      </c>
      <c r="E13" s="25"/>
      <c r="F13" s="38" t="str">
        <f t="shared" si="0"/>
        <v/>
      </c>
      <c r="G13" s="37">
        <f>'13-Week Forecast'!I$32</f>
        <v>44200</v>
      </c>
      <c r="H13" s="25"/>
      <c r="I13" s="38" t="str">
        <f t="shared" si="1"/>
        <v/>
      </c>
      <c r="J13" s="37">
        <f>'13-Week Forecast'!I$35</f>
        <v>140320</v>
      </c>
      <c r="K13" s="25"/>
      <c r="L13" s="38" t="str">
        <f t="shared" si="2"/>
        <v/>
      </c>
      <c r="M13" s="39"/>
    </row>
    <row r="14" spans="2:13" x14ac:dyDescent="0.55000000000000004">
      <c r="B14" s="35">
        <f>'13-Week Forecast'!J$5</f>
        <v>8</v>
      </c>
      <c r="C14" s="36">
        <f>'13-Week Forecast'!J$6</f>
        <v>46290</v>
      </c>
      <c r="D14" s="37">
        <f>'13-Week Forecast'!J$16</f>
        <v>53750</v>
      </c>
      <c r="E14" s="25"/>
      <c r="F14" s="38" t="str">
        <f t="shared" si="0"/>
        <v/>
      </c>
      <c r="G14" s="37">
        <f>'13-Week Forecast'!J$32</f>
        <v>24200</v>
      </c>
      <c r="H14" s="25"/>
      <c r="I14" s="38" t="str">
        <f t="shared" si="1"/>
        <v/>
      </c>
      <c r="J14" s="37">
        <f>'13-Week Forecast'!J$35</f>
        <v>169870</v>
      </c>
      <c r="K14" s="25"/>
      <c r="L14" s="38" t="str">
        <f t="shared" si="2"/>
        <v/>
      </c>
      <c r="M14" s="39"/>
    </row>
    <row r="15" spans="2:13" x14ac:dyDescent="0.55000000000000004">
      <c r="B15" s="35">
        <f>'13-Week Forecast'!K$5</f>
        <v>9</v>
      </c>
      <c r="C15" s="36">
        <f>'13-Week Forecast'!K$6</f>
        <v>46297</v>
      </c>
      <c r="D15" s="37">
        <f>'13-Week Forecast'!K$16</f>
        <v>44000</v>
      </c>
      <c r="E15" s="25"/>
      <c r="F15" s="38" t="str">
        <f t="shared" si="0"/>
        <v/>
      </c>
      <c r="G15" s="37">
        <f>'13-Week Forecast'!K$32</f>
        <v>102600</v>
      </c>
      <c r="H15" s="25"/>
      <c r="I15" s="38" t="str">
        <f t="shared" si="1"/>
        <v/>
      </c>
      <c r="J15" s="37">
        <f>'13-Week Forecast'!K$35</f>
        <v>111270</v>
      </c>
      <c r="K15" s="25"/>
      <c r="L15" s="38" t="str">
        <f t="shared" si="2"/>
        <v/>
      </c>
      <c r="M15" s="39"/>
    </row>
    <row r="16" spans="2:13" x14ac:dyDescent="0.55000000000000004">
      <c r="B16" s="35">
        <f>'13-Week Forecast'!L$5</f>
        <v>10</v>
      </c>
      <c r="C16" s="36">
        <f>'13-Week Forecast'!L$6</f>
        <v>46304</v>
      </c>
      <c r="D16" s="37">
        <f>'13-Week Forecast'!L$16</f>
        <v>44000</v>
      </c>
      <c r="E16" s="25"/>
      <c r="F16" s="38" t="str">
        <f t="shared" si="0"/>
        <v/>
      </c>
      <c r="G16" s="37">
        <f>'13-Week Forecast'!L$32</f>
        <v>24200</v>
      </c>
      <c r="H16" s="25"/>
      <c r="I16" s="38" t="str">
        <f t="shared" si="1"/>
        <v/>
      </c>
      <c r="J16" s="37">
        <f>'13-Week Forecast'!L$35</f>
        <v>131070</v>
      </c>
      <c r="K16" s="25"/>
      <c r="L16" s="38" t="str">
        <f t="shared" si="2"/>
        <v/>
      </c>
      <c r="M16" s="39"/>
    </row>
    <row r="17" spans="2:13" x14ac:dyDescent="0.55000000000000004">
      <c r="B17" s="35">
        <f>'13-Week Forecast'!M$5</f>
        <v>11</v>
      </c>
      <c r="C17" s="36">
        <f>'13-Week Forecast'!M$6</f>
        <v>46311</v>
      </c>
      <c r="D17" s="37">
        <f>'13-Week Forecast'!M$16</f>
        <v>44000</v>
      </c>
      <c r="E17" s="25"/>
      <c r="F17" s="38" t="str">
        <f t="shared" si="0"/>
        <v/>
      </c>
      <c r="G17" s="37">
        <f>'13-Week Forecast'!M$32</f>
        <v>44200</v>
      </c>
      <c r="H17" s="25"/>
      <c r="I17" s="38" t="str">
        <f t="shared" si="1"/>
        <v/>
      </c>
      <c r="J17" s="37">
        <f>'13-Week Forecast'!M$35</f>
        <v>130870</v>
      </c>
      <c r="K17" s="25"/>
      <c r="L17" s="38" t="str">
        <f t="shared" si="2"/>
        <v/>
      </c>
      <c r="M17" s="39"/>
    </row>
    <row r="18" spans="2:13" x14ac:dyDescent="0.55000000000000004">
      <c r="B18" s="35">
        <f>'13-Week Forecast'!N$5</f>
        <v>12</v>
      </c>
      <c r="C18" s="36">
        <f>'13-Week Forecast'!N$6</f>
        <v>46318</v>
      </c>
      <c r="D18" s="37">
        <f>'13-Week Forecast'!N$16</f>
        <v>44000</v>
      </c>
      <c r="E18" s="25"/>
      <c r="F18" s="38" t="str">
        <f t="shared" si="0"/>
        <v/>
      </c>
      <c r="G18" s="37">
        <f>'13-Week Forecast'!N$32</f>
        <v>24200</v>
      </c>
      <c r="H18" s="25"/>
      <c r="I18" s="38" t="str">
        <f t="shared" si="1"/>
        <v/>
      </c>
      <c r="J18" s="37">
        <f>'13-Week Forecast'!N$35</f>
        <v>150670</v>
      </c>
      <c r="K18" s="25"/>
      <c r="L18" s="38" t="str">
        <f t="shared" si="2"/>
        <v/>
      </c>
      <c r="M18" s="39"/>
    </row>
    <row r="19" spans="2:13" x14ac:dyDescent="0.55000000000000004">
      <c r="B19" s="35">
        <f>'13-Week Forecast'!O$5</f>
        <v>13</v>
      </c>
      <c r="C19" s="36">
        <f>'13-Week Forecast'!O$6</f>
        <v>46325</v>
      </c>
      <c r="D19" s="37">
        <f>'13-Week Forecast'!O$16</f>
        <v>44000</v>
      </c>
      <c r="E19" s="25"/>
      <c r="F19" s="38" t="str">
        <f t="shared" si="0"/>
        <v/>
      </c>
      <c r="G19" s="37">
        <f>'13-Week Forecast'!O$32</f>
        <v>44200</v>
      </c>
      <c r="H19" s="25"/>
      <c r="I19" s="38" t="str">
        <f t="shared" si="1"/>
        <v/>
      </c>
      <c r="J19" s="37">
        <f>'13-Week Forecast'!O$35</f>
        <v>150470</v>
      </c>
      <c r="K19" s="25"/>
      <c r="L19" s="38" t="str">
        <f t="shared" si="2"/>
        <v/>
      </c>
      <c r="M19" s="39"/>
    </row>
    <row r="20" spans="2:13" x14ac:dyDescent="0.55000000000000004">
      <c r="B20" s="27" t="s">
        <v>47</v>
      </c>
      <c r="D20" s="28">
        <f t="shared" ref="D20:I20" si="3">SUM(D7:D19)</f>
        <v>779250</v>
      </c>
      <c r="E20" s="28">
        <f t="shared" si="3"/>
        <v>0</v>
      </c>
      <c r="F20" s="28">
        <f t="shared" si="3"/>
        <v>0</v>
      </c>
      <c r="G20" s="28">
        <f t="shared" si="3"/>
        <v>746780</v>
      </c>
      <c r="H20" s="28">
        <f t="shared" si="3"/>
        <v>0</v>
      </c>
      <c r="I20" s="28">
        <f t="shared" si="3"/>
        <v>0</v>
      </c>
    </row>
    <row r="22" spans="2:13" x14ac:dyDescent="0.55000000000000004">
      <c r="B22" s="7" t="s">
        <v>152</v>
      </c>
      <c r="F22" s="10">
        <v>10000</v>
      </c>
    </row>
  </sheetData>
  <conditionalFormatting sqref="F7:F19">
    <cfRule type="cellIs" dxfId="1" priority="2" operator="lessThan">
      <formula>-$F$22</formula>
    </cfRule>
  </conditionalFormatting>
  <conditionalFormatting sqref="I7:I19">
    <cfRule type="cellIs" dxfId="0" priority="3" operator="lessThan">
      <formula>-$F$22</formula>
    </cfRule>
  </conditionalFormatting>
  <printOptions horizontalCentered="1"/>
  <pageMargins left="0.75" right="0.75" top="1" bottom="1" header="0.511811023622047" footer="0.511811023622047"/>
  <pageSetup fitToHeight="0" orientation="landscape"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2:D17"/>
  <sheetViews>
    <sheetView showGridLines="0" tabSelected="1" zoomScaleNormal="100" workbookViewId="0">
      <selection activeCell="G24" sqref="G24"/>
    </sheetView>
  </sheetViews>
  <sheetFormatPr defaultColWidth="8.68359375" defaultRowHeight="14.4" x14ac:dyDescent="0.55000000000000004"/>
  <cols>
    <col min="1" max="1" width="3" customWidth="1"/>
    <col min="2" max="2" width="42" customWidth="1"/>
    <col min="3" max="3" width="16" customWidth="1"/>
    <col min="4" max="4" width="58" customWidth="1"/>
  </cols>
  <sheetData>
    <row r="2" spans="2:4" ht="20.399999999999999" x14ac:dyDescent="0.75">
      <c r="B2" s="1" t="s">
        <v>153</v>
      </c>
    </row>
    <row r="3" spans="2:4" x14ac:dyDescent="0.55000000000000004">
      <c r="B3" s="2" t="s">
        <v>154</v>
      </c>
    </row>
    <row r="5" spans="2:4" x14ac:dyDescent="0.55000000000000004">
      <c r="B5" s="17" t="s">
        <v>155</v>
      </c>
      <c r="C5" s="17" t="s">
        <v>156</v>
      </c>
      <c r="D5" s="17" t="s">
        <v>157</v>
      </c>
    </row>
    <row r="6" spans="2:4" x14ac:dyDescent="0.55000000000000004">
      <c r="B6" s="40" t="s">
        <v>158</v>
      </c>
      <c r="C6" s="41">
        <f>'13-Week Forecast'!C9</f>
        <v>118000</v>
      </c>
      <c r="D6" s="42" t="s">
        <v>159</v>
      </c>
    </row>
    <row r="7" spans="2:4" x14ac:dyDescent="0.55000000000000004">
      <c r="B7" s="40" t="s">
        <v>160</v>
      </c>
      <c r="C7" s="41">
        <f>'13-Week Forecast'!O35</f>
        <v>150470</v>
      </c>
      <c r="D7" s="42" t="s">
        <v>161</v>
      </c>
    </row>
    <row r="8" spans="2:4" x14ac:dyDescent="0.55000000000000004">
      <c r="B8" s="40" t="s">
        <v>162</v>
      </c>
      <c r="C8" s="41">
        <f>'13-Week Forecast'!O35-'13-Week Forecast'!C9</f>
        <v>32470</v>
      </c>
      <c r="D8" s="42" t="s">
        <v>163</v>
      </c>
    </row>
    <row r="9" spans="2:4" x14ac:dyDescent="0.55000000000000004">
      <c r="B9" s="40" t="s">
        <v>164</v>
      </c>
      <c r="C9" s="41">
        <f>MIN('13-Week Forecast'!C35:O35)</f>
        <v>111270</v>
      </c>
      <c r="D9" s="42" t="s">
        <v>165</v>
      </c>
    </row>
    <row r="10" spans="2:4" x14ac:dyDescent="0.55000000000000004">
      <c r="B10" s="40" t="s">
        <v>166</v>
      </c>
      <c r="C10" s="43">
        <f>INDEX('13-Week Forecast'!C5:O5,MATCH(MIN('13-Week Forecast'!C35:O35),'13-Week Forecast'!C35:O35,0))</f>
        <v>9</v>
      </c>
      <c r="D10" s="42" t="s">
        <v>167</v>
      </c>
    </row>
    <row r="11" spans="2:4" x14ac:dyDescent="0.55000000000000004">
      <c r="B11" s="40" t="s">
        <v>168</v>
      </c>
      <c r="C11" s="43">
        <f>COUNTIF('13-Week Forecast'!C39:O39,"&lt;0")</f>
        <v>0</v>
      </c>
      <c r="D11" s="42" t="s">
        <v>169</v>
      </c>
    </row>
    <row r="12" spans="2:4" x14ac:dyDescent="0.55000000000000004">
      <c r="B12" s="40" t="s">
        <v>170</v>
      </c>
      <c r="C12" s="41">
        <f>AVERAGE('13-Week Forecast'!C16:O16)</f>
        <v>59942.307692307695</v>
      </c>
      <c r="D12" s="42" t="s">
        <v>171</v>
      </c>
    </row>
    <row r="13" spans="2:4" x14ac:dyDescent="0.55000000000000004">
      <c r="B13" s="40" t="s">
        <v>172</v>
      </c>
      <c r="C13" s="41">
        <f>AVERAGE('13-Week Forecast'!C32:O32)</f>
        <v>57444.615384615383</v>
      </c>
      <c r="D13" s="42" t="s">
        <v>173</v>
      </c>
    </row>
    <row r="14" spans="2:4" x14ac:dyDescent="0.55000000000000004">
      <c r="B14" s="40" t="s">
        <v>174</v>
      </c>
      <c r="C14" s="44">
        <f>IF(AVERAGE('13-Week Forecast'!C32:O32)=0,"n/a",'13-Week Forecast'!O35/AVERAGE('13-Week Forecast'!C32:O32))</f>
        <v>2.6193925921958274</v>
      </c>
      <c r="D14" s="42" t="s">
        <v>175</v>
      </c>
    </row>
    <row r="15" spans="2:4" x14ac:dyDescent="0.55000000000000004">
      <c r="B15" s="40" t="s">
        <v>176</v>
      </c>
      <c r="C15" s="45">
        <f>IF(Assumptions!C10=0,"n/a",MAX('13-Week Forecast'!C40:O40)/Assumptions!C10)</f>
        <v>0.2</v>
      </c>
      <c r="D15" s="42" t="s">
        <v>177</v>
      </c>
    </row>
    <row r="16" spans="2:4" x14ac:dyDescent="0.55000000000000004">
      <c r="B16" s="40" t="s">
        <v>178</v>
      </c>
      <c r="C16" s="41">
        <f>'13-Week Forecast'!O42</f>
        <v>350470</v>
      </c>
      <c r="D16" s="42" t="s">
        <v>179</v>
      </c>
    </row>
    <row r="17" spans="2:4" x14ac:dyDescent="0.55000000000000004">
      <c r="B17" s="40" t="s">
        <v>180</v>
      </c>
      <c r="C17" s="43">
        <f>IF(SUM('13-Week Forecast'!C44:O44)=0,"n/a",Assumptions!C21/(SUM('13-Week Forecast'!C44:O44)/91))</f>
        <v>43.471590909090914</v>
      </c>
      <c r="D17" s="42" t="s">
        <v>181</v>
      </c>
    </row>
  </sheetData>
  <printOptions horizontalCentered="1"/>
  <pageMargins left="0.75" right="0.75" top="1" bottom="1" header="0.511811023622047" footer="0.511811023622047"/>
  <pageSetup fitToHeight="0" orientation="landscape" horizontalDpi="300" verticalDpi="300"/>
  <drawing r:id="rId1"/>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Worksheets</vt:lpstr>
      </vt:variant>
      <vt:variant>
        <vt:i4>6</vt:i4>
      </vt:variant>
    </vt:vector>
  </HeadingPairs>
  <TitlesOfParts>
    <vt:vector size="6" baseType="lpstr">
      <vt:lpstr>Start Here</vt:lpstr>
      <vt:lpstr>Assumptions</vt:lpstr>
      <vt:lpstr>AR &amp; AP Detail</vt:lpstr>
      <vt:lpstr>13-Week Forecast</vt:lpstr>
      <vt:lpstr>Actual vs Forecast</vt:lpstr>
      <vt:lpstr>Dashboard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dc:description/>
  <cp:lastModifiedBy>Stan Alhadeff</cp:lastModifiedBy>
  <cp:revision>1</cp:revision>
  <dcterms:created xsi:type="dcterms:W3CDTF">2026-08-05T15:46:48Z</dcterms:created>
  <dcterms:modified xsi:type="dcterms:W3CDTF">2026-08-05T16:32:29Z</dcterms:modified>
  <dc:language>en-US</dc:language>
</cp:coreProperties>
</file>